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62" firstSheet="4" activeTab="7"/>
  </bookViews>
  <sheets>
    <sheet name="Больше-Меньше" sheetId="1" r:id="rId1"/>
    <sheet name="Точность" sheetId="2" r:id="rId2"/>
    <sheet name="Экономия" sheetId="3" r:id="rId3"/>
    <sheet name="Слалом" sheetId="4" r:id="rId4"/>
    <sheet name="Полет по заданному маршруту" sheetId="5" r:id="rId5"/>
    <sheet name="Точность 2" sheetId="6" r:id="rId6"/>
    <sheet name="Гонка" sheetId="7" r:id="rId7"/>
    <sheet name="Список" sheetId="8" r:id="rId8"/>
    <sheet name="Украинский зачет" sheetId="9" r:id="rId9"/>
  </sheets>
  <definedNames/>
  <calcPr fullCalcOnLoad="1"/>
</workbook>
</file>

<file path=xl/sharedStrings.xml><?xml version="1.0" encoding="utf-8"?>
<sst xmlns="http://schemas.openxmlformats.org/spreadsheetml/2006/main" count="270" uniqueCount="104">
  <si>
    <t>Очки</t>
  </si>
  <si>
    <t>Max (сек.)</t>
  </si>
  <si>
    <t>Min (сек.)</t>
  </si>
  <si>
    <t>Место</t>
  </si>
  <si>
    <t>Время (сек.)</t>
  </si>
  <si>
    <t>Min (км/ч)</t>
  </si>
  <si>
    <t>Max (км/ч)</t>
  </si>
  <si>
    <t>Разница (км/ч)</t>
  </si>
  <si>
    <t>Разница (сек.)</t>
  </si>
  <si>
    <t>Дистанция (м):</t>
  </si>
  <si>
    <t>Маршрут</t>
  </si>
  <si>
    <t>Список участников. Результаты.</t>
  </si>
  <si>
    <t>Ф.И.О.</t>
  </si>
  <si>
    <t>Формула:</t>
  </si>
  <si>
    <t>Где:</t>
  </si>
  <si>
    <t>Vmax = Самая высокая скорость, достигнутая в упражнении, в км/ч</t>
  </si>
  <si>
    <t>Vmin = Самая медленная скорость, достигнутая в упражнении, в км/ч</t>
  </si>
  <si>
    <t>Ep = Разница скоростей пилота, в км\ч</t>
  </si>
  <si>
    <t>Emax = Максимальная разница скоростей какого-либо пилота в упражнении, в км\ч</t>
  </si>
  <si>
    <t>Точность</t>
  </si>
  <si>
    <t>Min/Max</t>
  </si>
  <si>
    <t>Гонка</t>
  </si>
  <si>
    <t>Score = 1000*(Tmin/T)</t>
  </si>
  <si>
    <t>Tmin = Минимальное время, достигнутое в упражнении в секундах</t>
  </si>
  <si>
    <t>T = Время пилота, достигнутое в упражнении в секундах</t>
  </si>
  <si>
    <t>Tmax = Максимальное время, достигнутое в упражнении в секундах</t>
  </si>
  <si>
    <t>Старт (время)</t>
  </si>
  <si>
    <t>Финиш (время)</t>
  </si>
  <si>
    <t>Заявленное время</t>
  </si>
  <si>
    <t>Фактическое время</t>
  </si>
  <si>
    <t>Штрафы</t>
  </si>
  <si>
    <t>Очки итого</t>
  </si>
  <si>
    <t>Точность приземления</t>
  </si>
  <si>
    <t>-</t>
  </si>
  <si>
    <t>Разница, сек</t>
  </si>
  <si>
    <t>Delta, г</t>
  </si>
  <si>
    <t>Вес на финише, г</t>
  </si>
  <si>
    <t>Вес до старта, г</t>
  </si>
  <si>
    <t>Упражнение 3 (Экономия)</t>
  </si>
  <si>
    <t>Формула</t>
  </si>
  <si>
    <t>Score = k*1000*(Pmin/Pуч.)^3-Nштр.</t>
  </si>
  <si>
    <t>k - коэффициент сложности</t>
  </si>
  <si>
    <t>Pmin - минимальный расход горючего, г</t>
  </si>
  <si>
    <t>Pуч. - расход горючего участником</t>
  </si>
  <si>
    <t xml:space="preserve">Nштр.  -  штрафные очки. Если разница между фактическим и заявленным временем (60 мин) больше минуты,  </t>
  </si>
  <si>
    <t>начисляется 1 штрафное очко за каждые 2 секунды сверх одной минуты.</t>
  </si>
  <si>
    <t xml:space="preserve">Попытка </t>
  </si>
  <si>
    <t>200 очков</t>
  </si>
  <si>
    <t>0-1 метра</t>
  </si>
  <si>
    <t>Расстояние до цели</t>
  </si>
  <si>
    <t>1-2 метра</t>
  </si>
  <si>
    <t>150 очков</t>
  </si>
  <si>
    <t>2-3 метра</t>
  </si>
  <si>
    <t>100 очков</t>
  </si>
  <si>
    <t>3-4 метра</t>
  </si>
  <si>
    <t>75 очков</t>
  </si>
  <si>
    <t>4-5 метра</t>
  </si>
  <si>
    <t>50 очков</t>
  </si>
  <si>
    <t>точно в цель</t>
  </si>
  <si>
    <t>250 очков</t>
  </si>
  <si>
    <t>больше 5 метров</t>
  </si>
  <si>
    <t>Экономия</t>
  </si>
  <si>
    <t>1. Владимир Яворский</t>
  </si>
  <si>
    <t>4. Paulius, Burčikas</t>
  </si>
  <si>
    <t>5.Денис Украинцев</t>
  </si>
  <si>
    <t>7. Константин Козар</t>
  </si>
  <si>
    <t>8.Александр Конош</t>
  </si>
  <si>
    <t>12. Tomas, Raibikis</t>
  </si>
  <si>
    <t>44.Виктор Волосевич</t>
  </si>
  <si>
    <t>111. Aloyzas, Liaukus</t>
  </si>
  <si>
    <t>305.Elegius, Golcas</t>
  </si>
  <si>
    <t>3.Валерий Откидач</t>
  </si>
  <si>
    <t>61.Александр Прокоп</t>
  </si>
  <si>
    <t>Vp2 = Скорость пилота в км\ч на первом медленном участке.</t>
  </si>
  <si>
    <t>Vp1 = Скорость пилота в км\ч на втором быстром участке.</t>
  </si>
  <si>
    <t>Упражнение 1 (Min-Max)</t>
  </si>
  <si>
    <t>Упражнение 5 (Слалом Клевер)</t>
  </si>
  <si>
    <t>Время (сек.) 1-й Тур</t>
  </si>
  <si>
    <t>Кол. Вешек 1-й Тур</t>
  </si>
  <si>
    <t>Время (сек.) 2-й Тур</t>
  </si>
  <si>
    <t>Кол. Вешек 2-й Тур</t>
  </si>
  <si>
    <t>Очки 1-й Тур</t>
  </si>
  <si>
    <t>Очки 2-й Тур</t>
  </si>
  <si>
    <t>Очки общие</t>
  </si>
  <si>
    <t>Score = 1000*(Q/Qmin+U/Umin)</t>
  </si>
  <si>
    <t>Q = Число вешек, взятых пилотом деленное на затраченное пилотом время в секундах между касаниями 1-ой и 5-ой вешки за 1-й тур</t>
  </si>
  <si>
    <t>Qmin = минимальное значение Q среди учасников соревнования за 1-й тур</t>
  </si>
  <si>
    <t>Umin = минимальное значение Q среди учасников соревнования за 2-й тур</t>
  </si>
  <si>
    <t>U = Число вешек, взятых пилотом деленное на затраченное пилотом время в секундах между касаниями 1-ой и 5-ой вешки  за 2-й тур</t>
  </si>
  <si>
    <t>ППМ</t>
  </si>
  <si>
    <t>Знаки</t>
  </si>
  <si>
    <t>11. Дмитрий Анейчик</t>
  </si>
  <si>
    <t>Очки за точность навигации</t>
  </si>
  <si>
    <t>Штраф за точность навигации</t>
  </si>
  <si>
    <t>Очки за поиск цели</t>
  </si>
  <si>
    <t>Очки за скорость</t>
  </si>
  <si>
    <t>Фактическая длительность</t>
  </si>
  <si>
    <t>Слалом</t>
  </si>
  <si>
    <t>Полет по заданному маршруту на заявленное время</t>
  </si>
  <si>
    <t>Упражнение 6 (Гонка по треугольнику)</t>
  </si>
  <si>
    <t>Штраф, %</t>
  </si>
  <si>
    <t>Точность 2</t>
  </si>
  <si>
    <t>Точность приземления 2</t>
  </si>
  <si>
    <t>Украинский зачет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</si>
</sst>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h:mm;@"/>
    <numFmt numFmtId="190" formatCode="h:mm:ss;@"/>
    <numFmt numFmtId="191" formatCode="[$-FC19]d\ mmmm\ yyyy\ &quot;г.&quot;"/>
    <numFmt numFmtId="192" formatCode="[h]:mm:ss;@"/>
    <numFmt numFmtId="193" formatCode="[$-409]h:mm:ss\ AM/PM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90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90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19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190" fontId="0" fillId="0" borderId="0" xfId="0" applyNumberFormat="1" applyAlignment="1">
      <alignment/>
    </xf>
    <xf numFmtId="0" fontId="7" fillId="0" borderId="11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22</xdr:row>
      <xdr:rowOff>38100</xdr:rowOff>
    </xdr:from>
    <xdr:to>
      <xdr:col>9</xdr:col>
      <xdr:colOff>76200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781425"/>
          <a:ext cx="432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22</xdr:row>
      <xdr:rowOff>38100</xdr:rowOff>
    </xdr:from>
    <xdr:to>
      <xdr:col>9</xdr:col>
      <xdr:colOff>76200</xdr:colOff>
      <xdr:row>25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781425"/>
          <a:ext cx="432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22</xdr:row>
      <xdr:rowOff>38100</xdr:rowOff>
    </xdr:from>
    <xdr:to>
      <xdr:col>9</xdr:col>
      <xdr:colOff>76200</xdr:colOff>
      <xdr:row>25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3781425"/>
          <a:ext cx="432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" sqref="A3:A14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7.4218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7.28125" style="6" hidden="1" customWidth="1"/>
    <col min="13" max="13" width="8.140625" style="4" customWidth="1"/>
  </cols>
  <sheetData>
    <row r="1" spans="1:8" ht="27" customHeight="1">
      <c r="A1" s="82" t="s">
        <v>75</v>
      </c>
      <c r="B1" s="82"/>
      <c r="C1" s="82"/>
      <c r="D1" s="82"/>
      <c r="E1" s="82"/>
      <c r="F1" s="82"/>
      <c r="G1" s="26" t="s">
        <v>9</v>
      </c>
      <c r="H1" s="26">
        <v>250</v>
      </c>
    </row>
    <row r="2" spans="1:13" ht="12.75">
      <c r="A2" s="21" t="s">
        <v>12</v>
      </c>
      <c r="B2" s="31" t="s">
        <v>2</v>
      </c>
      <c r="C2" s="31" t="s">
        <v>1</v>
      </c>
      <c r="D2" s="32" t="s">
        <v>8</v>
      </c>
      <c r="E2" s="32" t="s">
        <v>5</v>
      </c>
      <c r="F2" s="32" t="s">
        <v>6</v>
      </c>
      <c r="G2" s="32" t="s">
        <v>7</v>
      </c>
      <c r="H2" s="15"/>
      <c r="I2" s="15"/>
      <c r="J2" s="15"/>
      <c r="K2" s="27" t="s">
        <v>0</v>
      </c>
      <c r="L2" s="17" t="s">
        <v>3</v>
      </c>
      <c r="M2" s="20" t="s">
        <v>3</v>
      </c>
    </row>
    <row r="3" spans="1:13" ht="12.75">
      <c r="A3" s="15" t="s">
        <v>62</v>
      </c>
      <c r="B3" s="29">
        <v>41</v>
      </c>
      <c r="C3" s="29">
        <v>26</v>
      </c>
      <c r="D3" s="14">
        <f>IF(B3&gt;0,B3-C3,"")</f>
        <v>15</v>
      </c>
      <c r="E3" s="14">
        <f>IF(B3&gt;0,ROUND((H1/1000)/(B3/60/60),3),"")</f>
        <v>21.951</v>
      </c>
      <c r="F3" s="14">
        <f>IF(C3&gt;0,ROUND((H1/1000)/(C3/60/60),3),"")</f>
        <v>34.615</v>
      </c>
      <c r="G3" s="14">
        <f>IF(B3&gt;0,F3-E3,"")</f>
        <v>12.664000000000001</v>
      </c>
      <c r="H3" s="15"/>
      <c r="I3" s="15"/>
      <c r="J3" s="15"/>
      <c r="K3" s="27">
        <f>IF(B3&gt;0,ROUND((250*F3/F35)+(250*E35/E3)+(500*G3/G35),0),0)</f>
        <v>582</v>
      </c>
      <c r="L3" s="17">
        <f>RANK(K3,K3:K32,0)</f>
        <v>8</v>
      </c>
      <c r="M3" s="18">
        <f>IF(L3&lt;4,ROMAN(L3),L3)</f>
        <v>8</v>
      </c>
    </row>
    <row r="4" spans="1:13" ht="12.75">
      <c r="A4" s="15" t="s">
        <v>63</v>
      </c>
      <c r="B4" s="29">
        <v>48</v>
      </c>
      <c r="C4" s="29">
        <v>22</v>
      </c>
      <c r="D4" s="14">
        <f aca="true" t="shared" si="0" ref="D4:D16">IF(B4&gt;0,B4-C4,"")</f>
        <v>26</v>
      </c>
      <c r="E4" s="14">
        <f>IF(B4&gt;0,ROUND((H1/1000)/(B4/60/60),3),"")</f>
        <v>18.75</v>
      </c>
      <c r="F4" s="14">
        <f>IF(C4&gt;0,ROUND((H1/1000)/(C4/60/60),3),"")</f>
        <v>40.909</v>
      </c>
      <c r="G4" s="14">
        <f aca="true" t="shared" si="1" ref="G4:G16">IF(B4&gt;0,F4-E4,"")</f>
        <v>22.159</v>
      </c>
      <c r="H4" s="15"/>
      <c r="I4" s="15"/>
      <c r="J4" s="15"/>
      <c r="K4" s="27">
        <f>IF(B4&gt;0,ROUND((250*F4/F35)+(250*E35/E4)+(500*G4/G35),0),0)</f>
        <v>822</v>
      </c>
      <c r="L4" s="17">
        <f>RANK(K4,K3:K32,0)</f>
        <v>3</v>
      </c>
      <c r="M4" s="18" t="str">
        <f aca="true" t="shared" si="2" ref="M4:M14">IF(L4&lt;4,ROMAN(L4),L4)</f>
        <v>III</v>
      </c>
    </row>
    <row r="5" spans="1:13" ht="12.75">
      <c r="A5" s="15" t="s">
        <v>64</v>
      </c>
      <c r="B5" s="29">
        <v>42</v>
      </c>
      <c r="C5" s="29">
        <v>25</v>
      </c>
      <c r="D5" s="14">
        <f t="shared" si="0"/>
        <v>17</v>
      </c>
      <c r="E5" s="14">
        <f>IF(B5&gt;0,ROUND((H1/1000)/(B5/60/60),3),"")</f>
        <v>21.429</v>
      </c>
      <c r="F5" s="14">
        <f>IF(C5&gt;0,ROUND((H1/1000)/(C5/60/60),3),"")</f>
        <v>36</v>
      </c>
      <c r="G5" s="14">
        <f t="shared" si="1"/>
        <v>14.571000000000002</v>
      </c>
      <c r="H5" s="15"/>
      <c r="I5" s="15"/>
      <c r="J5" s="15"/>
      <c r="K5" s="27">
        <f>IF(B5&gt;0,ROUND((250*F5/F35)+(250*E35/E5)+(500*G5/G35),0),0)</f>
        <v>629</v>
      </c>
      <c r="L5" s="17">
        <f>RANK(K5,K3:K32,0)</f>
        <v>5</v>
      </c>
      <c r="M5" s="18">
        <f t="shared" si="2"/>
        <v>5</v>
      </c>
    </row>
    <row r="6" spans="1:13" ht="12.75">
      <c r="A6" s="15" t="s">
        <v>65</v>
      </c>
      <c r="B6" s="76">
        <v>61</v>
      </c>
      <c r="C6" s="29">
        <v>33</v>
      </c>
      <c r="D6" s="14">
        <f t="shared" si="0"/>
        <v>28</v>
      </c>
      <c r="E6" s="14">
        <f>IF(B6&gt;0,ROUND((H1/1000)/(B6/60/60),3),"")</f>
        <v>14.754</v>
      </c>
      <c r="F6" s="14">
        <f>IF(C6&gt;0,ROUND((H1/1000)/(C6/60/60),3),"")</f>
        <v>27.273</v>
      </c>
      <c r="G6" s="14">
        <f t="shared" si="1"/>
        <v>12.519</v>
      </c>
      <c r="H6" s="15"/>
      <c r="I6" s="15"/>
      <c r="J6" s="15"/>
      <c r="K6" s="27">
        <f>IF(B6&gt;0,ROUND((250*F6/F35)+(250*E35/E6)+(500*G6/G35),0),0)</f>
        <v>624</v>
      </c>
      <c r="L6" s="17">
        <f>RANK(K6,K3:K32,0)</f>
        <v>6</v>
      </c>
      <c r="M6" s="18">
        <f t="shared" si="2"/>
        <v>6</v>
      </c>
    </row>
    <row r="7" spans="1:13" ht="12.75">
      <c r="A7" s="15" t="s">
        <v>66</v>
      </c>
      <c r="B7" s="29">
        <v>49</v>
      </c>
      <c r="C7" s="29">
        <v>40</v>
      </c>
      <c r="D7" s="14">
        <f t="shared" si="0"/>
        <v>9</v>
      </c>
      <c r="E7" s="14">
        <f>IF(B7&gt;0,ROUND((H1/1000)/(B7/60/60),3),"")</f>
        <v>18.367</v>
      </c>
      <c r="F7" s="14">
        <f>IF(C7&gt;0,ROUND((H1/1000)/(C7/60/60),3),"")</f>
        <v>22.5</v>
      </c>
      <c r="G7" s="14">
        <f t="shared" si="1"/>
        <v>4.132999999999999</v>
      </c>
      <c r="H7" s="15"/>
      <c r="I7" s="15"/>
      <c r="J7" s="15"/>
      <c r="K7" s="27">
        <f>IF(B7&gt;0,ROUND((250*F7/F35)+(250*E35/E7)+(500*G7/G35),0),0)</f>
        <v>392</v>
      </c>
      <c r="L7" s="17">
        <f>RANK(K7,K3:K32,0)</f>
        <v>10</v>
      </c>
      <c r="M7" s="18">
        <f t="shared" si="2"/>
        <v>10</v>
      </c>
    </row>
    <row r="8" spans="1:13" ht="12.75">
      <c r="A8" s="15" t="s">
        <v>91</v>
      </c>
      <c r="B8" s="29">
        <v>40</v>
      </c>
      <c r="C8" s="29">
        <v>40</v>
      </c>
      <c r="D8" s="14">
        <f t="shared" si="0"/>
        <v>0</v>
      </c>
      <c r="E8" s="14">
        <f>IF(B8&gt;0,ROUND((H1/1000)/(B8/60/60),3),"")</f>
        <v>22.5</v>
      </c>
      <c r="F8" s="14">
        <f>IF(C8&gt;0,ROUND((H1/1000)/(C8/60/60),3),"")</f>
        <v>22.5</v>
      </c>
      <c r="G8" s="14">
        <f t="shared" si="1"/>
        <v>0</v>
      </c>
      <c r="H8" s="15"/>
      <c r="I8" s="15"/>
      <c r="J8" s="15"/>
      <c r="K8" s="27">
        <f>IF(B8&gt;0,ROUND((250*F8/F35)+(250*E35/E8)+(500*G8/G35),0),0)</f>
        <v>276</v>
      </c>
      <c r="L8" s="17">
        <f>RANK(K8,K3:K32,0)</f>
        <v>12</v>
      </c>
      <c r="M8" s="18">
        <f t="shared" si="2"/>
        <v>12</v>
      </c>
    </row>
    <row r="9" spans="1:13" ht="12.75">
      <c r="A9" s="15" t="s">
        <v>67</v>
      </c>
      <c r="B9" s="29">
        <v>42</v>
      </c>
      <c r="C9" s="29">
        <v>19</v>
      </c>
      <c r="D9" s="14">
        <f t="shared" si="0"/>
        <v>23</v>
      </c>
      <c r="E9" s="14">
        <f>IF(B9&gt;0,ROUND((H1/1000)/(B9/60/60),3),"")</f>
        <v>21.429</v>
      </c>
      <c r="F9" s="14">
        <f>IF(C9&gt;0,ROUND((H1/1000)/(C9/60/60),3),"")</f>
        <v>47.368</v>
      </c>
      <c r="G9" s="14">
        <f t="shared" si="1"/>
        <v>25.939000000000004</v>
      </c>
      <c r="H9" s="15"/>
      <c r="I9" s="15"/>
      <c r="J9" s="15"/>
      <c r="K9" s="27">
        <f>IF(B9&gt;0,ROUND((250*F9/F35)+(250*E35/E9)+(500*G9/G35),0),0)</f>
        <v>902</v>
      </c>
      <c r="L9" s="17">
        <f>RANK(K9,K3:K32,0)</f>
        <v>2</v>
      </c>
      <c r="M9" s="18" t="str">
        <f t="shared" si="2"/>
        <v>II</v>
      </c>
    </row>
    <row r="10" spans="1:13" ht="12.75">
      <c r="A10" s="15" t="s">
        <v>68</v>
      </c>
      <c r="B10" s="29">
        <v>45</v>
      </c>
      <c r="C10" s="29">
        <v>40</v>
      </c>
      <c r="D10" s="14">
        <f t="shared" si="0"/>
        <v>5</v>
      </c>
      <c r="E10" s="14">
        <f>IF(B10&gt;0,ROUND((H1/1000)/(B10/60/60),3),"")</f>
        <v>20</v>
      </c>
      <c r="F10" s="14">
        <f>IF(C10&gt;0,ROUND((H1/1000)/(C10/60/60),3),"")</f>
        <v>22.5</v>
      </c>
      <c r="G10" s="14">
        <f t="shared" si="1"/>
        <v>2.5</v>
      </c>
      <c r="H10" s="15"/>
      <c r="I10" s="15"/>
      <c r="J10" s="15"/>
      <c r="K10" s="27">
        <f>IF(B10&gt;0,ROUND((250*F10/F35)+(250*E35/E10)+(500*G10/G35),0),0)</f>
        <v>344</v>
      </c>
      <c r="L10" s="17">
        <f>RANK(K10,K3:K32,0)</f>
        <v>11</v>
      </c>
      <c r="M10" s="18">
        <f t="shared" si="2"/>
        <v>11</v>
      </c>
    </row>
    <row r="11" spans="1:13" ht="12.75">
      <c r="A11" s="15" t="s">
        <v>69</v>
      </c>
      <c r="B11" s="29">
        <v>38</v>
      </c>
      <c r="C11" s="29">
        <v>18</v>
      </c>
      <c r="D11" s="14">
        <f t="shared" si="0"/>
        <v>20</v>
      </c>
      <c r="E11" s="14">
        <f>IF(B11&gt;0,ROUND((H1/1000)/(B11/60/60),3),"")</f>
        <v>23.684</v>
      </c>
      <c r="F11" s="14">
        <f>IF(C11&gt;0,ROUND((H1/1000)/(C11/60/60),3),"")</f>
        <v>50</v>
      </c>
      <c r="G11" s="14">
        <f t="shared" si="1"/>
        <v>26.316</v>
      </c>
      <c r="H11" s="15"/>
      <c r="I11" s="15"/>
      <c r="J11" s="15"/>
      <c r="K11" s="27">
        <f>IF(B11&gt;0,ROUND((250*F11/F35)+(250*E35/E11)+(500*G11/G35),0),0)</f>
        <v>906</v>
      </c>
      <c r="L11" s="17">
        <f>RANK(K11,K3:K32,0)</f>
        <v>1</v>
      </c>
      <c r="M11" s="18" t="str">
        <f t="shared" si="2"/>
        <v>I</v>
      </c>
    </row>
    <row r="12" spans="1:13" ht="12.75">
      <c r="A12" s="50" t="s">
        <v>70</v>
      </c>
      <c r="B12" s="29">
        <v>41</v>
      </c>
      <c r="C12" s="29">
        <v>24</v>
      </c>
      <c r="D12" s="14">
        <f t="shared" si="0"/>
        <v>17</v>
      </c>
      <c r="E12" s="14">
        <f>IF(B12&gt;0,ROUND((H1/1000)/(B12/60/60),3),"")</f>
        <v>21.951</v>
      </c>
      <c r="F12" s="14">
        <f>IF(C12&gt;0,ROUND((H1/1000)/(C12/60/60),3),"")</f>
        <v>37.5</v>
      </c>
      <c r="G12" s="14">
        <f t="shared" si="1"/>
        <v>15.549</v>
      </c>
      <c r="H12" s="15"/>
      <c r="I12" s="15"/>
      <c r="J12" s="15"/>
      <c r="K12" s="27">
        <f>IF(B12&gt;0,ROUND((250*F12/F35)+(250*E35/E12)+(500*G12/G35),0),0)</f>
        <v>651</v>
      </c>
      <c r="L12" s="17">
        <f>RANK(K12,K3:K32,0)</f>
        <v>4</v>
      </c>
      <c r="M12" s="18">
        <f t="shared" si="2"/>
        <v>4</v>
      </c>
    </row>
    <row r="13" spans="1:13" ht="12.75">
      <c r="A13" s="15" t="s">
        <v>71</v>
      </c>
      <c r="B13" s="29">
        <v>34</v>
      </c>
      <c r="C13" s="29">
        <v>23</v>
      </c>
      <c r="D13" s="14">
        <f t="shared" si="0"/>
        <v>11</v>
      </c>
      <c r="E13" s="14">
        <f>IF(B13&gt;0,ROUND((H1/1000)/(B13/60/60),3),"")</f>
        <v>26.471</v>
      </c>
      <c r="F13" s="14">
        <f>IF(C13&gt;0,ROUND((H1/1000)/(C13/60/60),3),"")</f>
        <v>39.13</v>
      </c>
      <c r="G13" s="14">
        <f t="shared" si="1"/>
        <v>12.659000000000002</v>
      </c>
      <c r="H13" s="15"/>
      <c r="I13" s="15"/>
      <c r="J13" s="15"/>
      <c r="K13" s="27">
        <f>IF(B13&gt;0,ROUND((250*F13/F35)+(250*E35/E13)+(500*G13/G35),0),0)</f>
        <v>576</v>
      </c>
      <c r="L13" s="17">
        <f>RANK(K13,K3:K32,0)</f>
        <v>9</v>
      </c>
      <c r="M13" s="18">
        <f t="shared" si="2"/>
        <v>9</v>
      </c>
    </row>
    <row r="14" spans="1:13" ht="12.75">
      <c r="A14" s="15" t="s">
        <v>72</v>
      </c>
      <c r="B14" s="29">
        <v>44</v>
      </c>
      <c r="C14" s="29">
        <v>26</v>
      </c>
      <c r="D14" s="14">
        <f t="shared" si="0"/>
        <v>18</v>
      </c>
      <c r="E14" s="14">
        <f>IF(B14&gt;0,ROUND((H1/1000)/(B14/60/60),3),"")</f>
        <v>20.455</v>
      </c>
      <c r="F14" s="14">
        <f>IF(C14&gt;0,ROUND((H1/1000)/(C14/60/60),3),"")</f>
        <v>34.615</v>
      </c>
      <c r="G14" s="14">
        <f t="shared" si="1"/>
        <v>14.160000000000004</v>
      </c>
      <c r="H14" s="15"/>
      <c r="I14" s="15"/>
      <c r="J14" s="15"/>
      <c r="K14" s="27">
        <f>IF(B14&gt;0,ROUND((250*F14/F35)+(250*E35/E14)+(500*G14/G35),0),0)</f>
        <v>622</v>
      </c>
      <c r="L14" s="17">
        <f>RANK(K14,K3:K32,0)</f>
        <v>7</v>
      </c>
      <c r="M14" s="18">
        <f t="shared" si="2"/>
        <v>7</v>
      </c>
    </row>
    <row r="15" spans="1:13" ht="12.75">
      <c r="A15" s="15"/>
      <c r="B15" s="29"/>
      <c r="C15" s="29"/>
      <c r="D15" s="14">
        <f t="shared" si="0"/>
      </c>
      <c r="E15" s="14">
        <f>IF(B15&gt;0,ROUND((H1/1000)/(B15/60/60),3),"")</f>
      </c>
      <c r="F15" s="14">
        <f>IF(C15&gt;0,ROUND((H1/1000)/(C15/60/60),3),"")</f>
      </c>
      <c r="G15" s="14">
        <f t="shared" si="1"/>
      </c>
      <c r="H15" s="15"/>
      <c r="I15" s="15"/>
      <c r="J15" s="15"/>
      <c r="K15" s="27"/>
      <c r="L15" s="17" t="e">
        <f>RANK(K15,K3:K32,0)</f>
        <v>#N/A</v>
      </c>
      <c r="M15" s="18"/>
    </row>
    <row r="16" spans="1:13" ht="12.75">
      <c r="A16" s="15"/>
      <c r="B16" s="29"/>
      <c r="C16" s="29"/>
      <c r="D16" s="14">
        <f t="shared" si="0"/>
      </c>
      <c r="E16" s="14">
        <f>IF(B16&gt;0,ROUND((H1/1000)/(B16/60/60),3),"")</f>
      </c>
      <c r="F16" s="14">
        <f>IF(C16&gt;0,ROUND((H1/1000)/(C16/60/60),3),"")</f>
      </c>
      <c r="G16" s="14">
        <f t="shared" si="1"/>
      </c>
      <c r="H16" s="15"/>
      <c r="I16" s="15"/>
      <c r="J16" s="15"/>
      <c r="K16" s="27"/>
      <c r="L16" s="17" t="e">
        <f>RANK(K16,K3:K32,0)</f>
        <v>#N/A</v>
      </c>
      <c r="M16" s="18"/>
    </row>
    <row r="17" spans="1:13" ht="12.75">
      <c r="A17" s="15"/>
      <c r="B17" s="29"/>
      <c r="C17" s="29"/>
      <c r="D17" s="14"/>
      <c r="E17" s="14"/>
      <c r="F17" s="14"/>
      <c r="G17" s="14"/>
      <c r="H17" s="15"/>
      <c r="I17" s="15"/>
      <c r="J17" s="15"/>
      <c r="K17" s="27"/>
      <c r="L17" s="17"/>
      <c r="M17" s="18"/>
    </row>
    <row r="18" spans="1:13" ht="12.75">
      <c r="A18" s="15"/>
      <c r="B18" s="29"/>
      <c r="C18" s="29"/>
      <c r="D18" s="14"/>
      <c r="E18" s="14"/>
      <c r="F18" s="14"/>
      <c r="G18" s="14"/>
      <c r="H18" s="15"/>
      <c r="I18" s="15"/>
      <c r="J18" s="15"/>
      <c r="K18" s="27"/>
      <c r="L18" s="17"/>
      <c r="M18" s="18"/>
    </row>
    <row r="19" spans="1:13" ht="12.75">
      <c r="A19" s="15"/>
      <c r="B19" s="29"/>
      <c r="C19" s="29"/>
      <c r="D19" s="14"/>
      <c r="E19" s="14"/>
      <c r="F19" s="14"/>
      <c r="G19" s="14"/>
      <c r="H19" s="15"/>
      <c r="I19" s="15"/>
      <c r="J19" s="15"/>
      <c r="K19" s="27"/>
      <c r="L19" s="17"/>
      <c r="M19" s="18"/>
    </row>
    <row r="20" spans="1:13" ht="12.75">
      <c r="A20" s="15"/>
      <c r="B20" s="29"/>
      <c r="C20" s="29"/>
      <c r="D20" s="14"/>
      <c r="E20" s="14"/>
      <c r="F20" s="14"/>
      <c r="G20" s="14"/>
      <c r="H20" s="15"/>
      <c r="I20" s="15"/>
      <c r="J20" s="15"/>
      <c r="K20" s="27"/>
      <c r="L20" s="17"/>
      <c r="M20" s="18"/>
    </row>
    <row r="21" spans="1:13" ht="12.75">
      <c r="A21" s="15"/>
      <c r="B21" s="29"/>
      <c r="C21" s="29"/>
      <c r="D21" s="14"/>
      <c r="E21" s="14"/>
      <c r="F21" s="14"/>
      <c r="G21" s="14"/>
      <c r="H21" s="15"/>
      <c r="I21" s="15"/>
      <c r="J21" s="15"/>
      <c r="K21" s="27"/>
      <c r="L21" s="17"/>
      <c r="M21" s="18"/>
    </row>
    <row r="22" spans="1:13" ht="12.75">
      <c r="A22" s="15"/>
      <c r="B22" s="29"/>
      <c r="C22" s="29"/>
      <c r="D22" s="14"/>
      <c r="E22" s="14"/>
      <c r="F22" s="14"/>
      <c r="G22" s="14"/>
      <c r="H22" s="15"/>
      <c r="I22" s="15"/>
      <c r="J22" s="15"/>
      <c r="K22" s="27"/>
      <c r="L22" s="17"/>
      <c r="M22" s="18"/>
    </row>
    <row r="23" spans="11:13" ht="12.75">
      <c r="K23" s="3"/>
      <c r="M23" s="5"/>
    </row>
    <row r="24" spans="1:13" ht="12.75">
      <c r="A24" s="10"/>
      <c r="C24" t="s">
        <v>13</v>
      </c>
      <c r="J24" s="3"/>
      <c r="K24" s="3"/>
      <c r="M24" s="5"/>
    </row>
    <row r="25" spans="3:13" ht="12.75">
      <c r="C25" s="11"/>
      <c r="J25" s="3"/>
      <c r="K25" s="3"/>
      <c r="M25" s="5"/>
    </row>
    <row r="26" spans="3:13" ht="12.75">
      <c r="C26"/>
      <c r="J26" s="3"/>
      <c r="K26" s="3"/>
      <c r="M26" s="5"/>
    </row>
    <row r="27" spans="3:13" ht="12.75">
      <c r="C27" t="s">
        <v>14</v>
      </c>
      <c r="J27" s="3"/>
      <c r="K27" s="3"/>
      <c r="M27" s="5"/>
    </row>
    <row r="28" spans="3:13" ht="12.75">
      <c r="C28" t="s">
        <v>15</v>
      </c>
      <c r="H28">
        <f>MAX(F3:F14)</f>
        <v>50</v>
      </c>
      <c r="J28" s="3"/>
      <c r="K28" s="3"/>
      <c r="M28" s="5"/>
    </row>
    <row r="29" spans="3:13" ht="12.75">
      <c r="C29" t="s">
        <v>73</v>
      </c>
      <c r="J29" s="3"/>
      <c r="K29" s="3"/>
      <c r="M29" s="5"/>
    </row>
    <row r="30" spans="3:13" ht="12.75">
      <c r="C30" t="s">
        <v>16</v>
      </c>
      <c r="H30">
        <f>MIN(E3:E14)</f>
        <v>14.754</v>
      </c>
      <c r="J30" s="3"/>
      <c r="K30" s="3"/>
      <c r="M30" s="5"/>
    </row>
    <row r="31" spans="3:13" ht="12.75">
      <c r="C31" t="s">
        <v>74</v>
      </c>
      <c r="J31" s="3"/>
      <c r="K31" s="3"/>
      <c r="M31" s="5"/>
    </row>
    <row r="32" spans="3:13" ht="12.75">
      <c r="C32" t="s">
        <v>17</v>
      </c>
      <c r="J32" s="3"/>
      <c r="K32" s="3"/>
      <c r="M32" s="5"/>
    </row>
    <row r="33" spans="3:11" ht="12.75">
      <c r="C33" t="s">
        <v>18</v>
      </c>
      <c r="K33">
        <f>MAX(G3:G14)</f>
        <v>26.316</v>
      </c>
    </row>
    <row r="34" ht="12.75" customHeight="1"/>
    <row r="35" spans="2:7" ht="20.25" customHeight="1">
      <c r="B35" s="9">
        <f>MIN(B3:B32)</f>
        <v>34</v>
      </c>
      <c r="C35" s="9">
        <f>MAX(C3:C32)</f>
        <v>40</v>
      </c>
      <c r="D35">
        <f>MAX(D3:D32)</f>
        <v>28</v>
      </c>
      <c r="E35">
        <f>MIN(E3:E32)</f>
        <v>14.754</v>
      </c>
      <c r="F35">
        <f>MAX(F3:F32)</f>
        <v>50</v>
      </c>
      <c r="G35">
        <f>MAX(G3:G32)</f>
        <v>26.316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3" sqref="M3:M14"/>
    </sheetView>
  </sheetViews>
  <sheetFormatPr defaultColWidth="9.140625" defaultRowHeight="12.75"/>
  <cols>
    <col min="1" max="1" width="27.8515625" style="1" customWidth="1"/>
    <col min="2" max="2" width="10.7109375" style="9" bestFit="1" customWidth="1"/>
    <col min="3" max="3" width="18.57421875" style="9" bestFit="1" customWidth="1"/>
    <col min="4" max="4" width="10.57421875" style="9" customWidth="1"/>
    <col min="5" max="5" width="10.7109375" style="9" bestFit="1" customWidth="1"/>
    <col min="6" max="6" width="10.7109375" style="9" customWidth="1"/>
    <col min="7" max="7" width="0.85546875" style="0" hidden="1" customWidth="1"/>
    <col min="8" max="8" width="6.28125" style="0" hidden="1" customWidth="1"/>
    <col min="9" max="9" width="6.00390625" style="0" hidden="1" customWidth="1"/>
    <col min="10" max="10" width="6.421875" style="0" hidden="1" customWidth="1"/>
    <col min="11" max="11" width="6.421875" style="0" customWidth="1"/>
    <col min="12" max="12" width="6.7109375" style="6" hidden="1" customWidth="1"/>
    <col min="13" max="13" width="8.140625" style="4" customWidth="1"/>
    <col min="14" max="14" width="7.421875" style="0" customWidth="1"/>
  </cols>
  <sheetData>
    <row r="1" spans="1:6" ht="24" customHeight="1">
      <c r="A1" s="83" t="s">
        <v>32</v>
      </c>
      <c r="B1" s="83"/>
      <c r="C1" s="83"/>
      <c r="D1" s="83"/>
      <c r="E1" s="83"/>
      <c r="F1" s="83"/>
    </row>
    <row r="2" spans="1:13" ht="12.75">
      <c r="A2" s="21" t="s">
        <v>12</v>
      </c>
      <c r="B2" s="22" t="s">
        <v>46</v>
      </c>
      <c r="C2" s="22"/>
      <c r="D2" s="22"/>
      <c r="E2" s="22"/>
      <c r="F2" s="22"/>
      <c r="G2" s="15"/>
      <c r="H2" s="15"/>
      <c r="I2" s="15"/>
      <c r="J2" s="15"/>
      <c r="K2" s="23" t="s">
        <v>0</v>
      </c>
      <c r="L2" s="17" t="s">
        <v>3</v>
      </c>
      <c r="M2" s="20" t="s">
        <v>3</v>
      </c>
    </row>
    <row r="3" spans="1:13" ht="12.75">
      <c r="A3" s="15" t="s">
        <v>62</v>
      </c>
      <c r="B3" s="25">
        <v>250</v>
      </c>
      <c r="C3" s="25"/>
      <c r="D3" s="25"/>
      <c r="E3" s="25"/>
      <c r="F3" s="25"/>
      <c r="G3" s="15"/>
      <c r="H3" s="15"/>
      <c r="I3" s="15"/>
      <c r="J3" s="15"/>
      <c r="K3" s="23">
        <f>SUM(B3:J3)</f>
        <v>250</v>
      </c>
      <c r="L3" s="17">
        <f>RANK(K3,K3:K32,0)</f>
        <v>1</v>
      </c>
      <c r="M3" s="18" t="str">
        <f>IF(L3&lt;4,ROMAN(L3),L3)</f>
        <v>I</v>
      </c>
    </row>
    <row r="4" spans="1:13" ht="12.75">
      <c r="A4" s="15" t="s">
        <v>63</v>
      </c>
      <c r="B4" s="25">
        <v>150</v>
      </c>
      <c r="C4" s="25"/>
      <c r="D4" s="25"/>
      <c r="E4" s="25"/>
      <c r="F4" s="25"/>
      <c r="G4" s="15"/>
      <c r="H4" s="15"/>
      <c r="I4" s="15"/>
      <c r="J4" s="15"/>
      <c r="K4" s="23">
        <f aca="true" t="shared" si="0" ref="K4:K14">SUM(B4:J4)</f>
        <v>150</v>
      </c>
      <c r="L4" s="17">
        <f>RANK(K4,K3:K32,0)</f>
        <v>4</v>
      </c>
      <c r="M4" s="18">
        <f aca="true" t="shared" si="1" ref="M4:M14">IF(L4&lt;4,ROMAN(L4),L4)</f>
        <v>4</v>
      </c>
    </row>
    <row r="5" spans="1:13" ht="12.75">
      <c r="A5" s="15" t="s">
        <v>64</v>
      </c>
      <c r="B5" s="25">
        <v>150</v>
      </c>
      <c r="C5" s="25"/>
      <c r="D5" s="25"/>
      <c r="E5" s="25"/>
      <c r="F5" s="25"/>
      <c r="G5" s="15"/>
      <c r="H5" s="15"/>
      <c r="I5" s="15"/>
      <c r="J5" s="15"/>
      <c r="K5" s="23">
        <f t="shared" si="0"/>
        <v>150</v>
      </c>
      <c r="L5" s="17">
        <f>RANK(K5,K3:K32,0)</f>
        <v>4</v>
      </c>
      <c r="M5" s="18">
        <f t="shared" si="1"/>
        <v>4</v>
      </c>
    </row>
    <row r="6" spans="1:13" ht="12.75">
      <c r="A6" s="15" t="s">
        <v>65</v>
      </c>
      <c r="B6" s="25">
        <v>50</v>
      </c>
      <c r="C6" s="25"/>
      <c r="D6" s="25"/>
      <c r="E6" s="25"/>
      <c r="F6" s="25"/>
      <c r="G6" s="15"/>
      <c r="H6" s="15"/>
      <c r="I6" s="15"/>
      <c r="J6" s="15"/>
      <c r="K6" s="23">
        <f t="shared" si="0"/>
        <v>50</v>
      </c>
      <c r="L6" s="17">
        <f>RANK(K6,K3:K32,0)</f>
        <v>6</v>
      </c>
      <c r="M6" s="18">
        <f t="shared" si="1"/>
        <v>6</v>
      </c>
    </row>
    <row r="7" spans="1:13" ht="12.75">
      <c r="A7" s="15" t="s">
        <v>66</v>
      </c>
      <c r="B7" s="25">
        <v>0</v>
      </c>
      <c r="C7" s="25"/>
      <c r="D7" s="25"/>
      <c r="E7" s="25"/>
      <c r="F7" s="25"/>
      <c r="G7" s="15"/>
      <c r="H7" s="15"/>
      <c r="I7" s="15"/>
      <c r="J7" s="15"/>
      <c r="K7" s="23">
        <f t="shared" si="0"/>
        <v>0</v>
      </c>
      <c r="L7" s="17">
        <f>RANK(K7,K3:K32,0)</f>
        <v>7</v>
      </c>
      <c r="M7" s="18">
        <f t="shared" si="1"/>
        <v>7</v>
      </c>
    </row>
    <row r="8" spans="1:13" ht="12.75">
      <c r="A8" s="15" t="s">
        <v>91</v>
      </c>
      <c r="B8" s="25">
        <v>250</v>
      </c>
      <c r="C8" s="25"/>
      <c r="D8" s="25"/>
      <c r="E8" s="25"/>
      <c r="F8" s="25"/>
      <c r="G8" s="15"/>
      <c r="H8" s="15"/>
      <c r="I8" s="15"/>
      <c r="J8" s="15"/>
      <c r="K8" s="23">
        <f t="shared" si="0"/>
        <v>250</v>
      </c>
      <c r="L8" s="17">
        <f>RANK(K8,K3:K32,0)</f>
        <v>1</v>
      </c>
      <c r="M8" s="18" t="str">
        <f t="shared" si="1"/>
        <v>I</v>
      </c>
    </row>
    <row r="9" spans="1:13" ht="12.75">
      <c r="A9" s="15" t="s">
        <v>67</v>
      </c>
      <c r="B9" s="25">
        <v>250</v>
      </c>
      <c r="C9" s="25"/>
      <c r="D9" s="25"/>
      <c r="E9" s="25"/>
      <c r="F9" s="25"/>
      <c r="G9" s="15"/>
      <c r="H9" s="15"/>
      <c r="I9" s="15"/>
      <c r="J9" s="15"/>
      <c r="K9" s="23">
        <f t="shared" si="0"/>
        <v>250</v>
      </c>
      <c r="L9" s="17">
        <f>RANK(K9,K3:K32,0)</f>
        <v>1</v>
      </c>
      <c r="M9" s="18" t="str">
        <f t="shared" si="1"/>
        <v>I</v>
      </c>
    </row>
    <row r="10" spans="1:13" ht="12.75">
      <c r="A10" s="15" t="s">
        <v>68</v>
      </c>
      <c r="B10" s="25">
        <v>0</v>
      </c>
      <c r="C10" s="25"/>
      <c r="D10" s="25"/>
      <c r="E10" s="25"/>
      <c r="F10" s="25"/>
      <c r="G10" s="15"/>
      <c r="H10" s="15"/>
      <c r="I10" s="15"/>
      <c r="J10" s="15"/>
      <c r="K10" s="23">
        <f t="shared" si="0"/>
        <v>0</v>
      </c>
      <c r="L10" s="17">
        <f>RANK(K10,K3:K32,0)</f>
        <v>7</v>
      </c>
      <c r="M10" s="18">
        <f t="shared" si="1"/>
        <v>7</v>
      </c>
    </row>
    <row r="11" spans="1:13" ht="12.75">
      <c r="A11" s="15" t="s">
        <v>69</v>
      </c>
      <c r="B11" s="25">
        <v>0</v>
      </c>
      <c r="C11" s="25"/>
      <c r="D11" s="25"/>
      <c r="E11" s="25"/>
      <c r="F11" s="25"/>
      <c r="G11" s="15"/>
      <c r="H11" s="15"/>
      <c r="I11" s="15"/>
      <c r="J11" s="15"/>
      <c r="K11" s="23">
        <f t="shared" si="0"/>
        <v>0</v>
      </c>
      <c r="L11" s="17">
        <f>RANK(K11,K3:K32,0)</f>
        <v>7</v>
      </c>
      <c r="M11" s="18">
        <f t="shared" si="1"/>
        <v>7</v>
      </c>
    </row>
    <row r="12" spans="1:13" ht="12.75">
      <c r="A12" s="50" t="s">
        <v>70</v>
      </c>
      <c r="B12" s="25">
        <v>0</v>
      </c>
      <c r="C12" s="25"/>
      <c r="D12" s="25"/>
      <c r="E12" s="25"/>
      <c r="F12" s="25"/>
      <c r="G12" s="15"/>
      <c r="H12" s="15"/>
      <c r="I12" s="15"/>
      <c r="J12" s="15"/>
      <c r="K12" s="23">
        <f t="shared" si="0"/>
        <v>0</v>
      </c>
      <c r="L12" s="17">
        <f>RANK(K12,K3:K32,0)</f>
        <v>7</v>
      </c>
      <c r="M12" s="18">
        <f t="shared" si="1"/>
        <v>7</v>
      </c>
    </row>
    <row r="13" spans="1:13" ht="12.75">
      <c r="A13" s="15" t="s">
        <v>71</v>
      </c>
      <c r="B13" s="25">
        <v>0</v>
      </c>
      <c r="C13" s="25"/>
      <c r="D13" s="25"/>
      <c r="E13" s="25"/>
      <c r="F13" s="25"/>
      <c r="G13" s="15"/>
      <c r="H13" s="15"/>
      <c r="I13" s="15"/>
      <c r="J13" s="15"/>
      <c r="K13" s="23">
        <f t="shared" si="0"/>
        <v>0</v>
      </c>
      <c r="L13" s="17">
        <f>RANK(K13,K3:K32,0)</f>
        <v>7</v>
      </c>
      <c r="M13" s="18">
        <f t="shared" si="1"/>
        <v>7</v>
      </c>
    </row>
    <row r="14" spans="1:13" ht="12.75">
      <c r="A14" s="15" t="s">
        <v>72</v>
      </c>
      <c r="B14" s="25">
        <v>0</v>
      </c>
      <c r="C14" s="25"/>
      <c r="D14" s="25"/>
      <c r="E14" s="25"/>
      <c r="F14" s="25"/>
      <c r="G14" s="15"/>
      <c r="H14" s="15"/>
      <c r="I14" s="15"/>
      <c r="J14" s="15"/>
      <c r="K14" s="23">
        <f t="shared" si="0"/>
        <v>0</v>
      </c>
      <c r="L14" s="17">
        <f>RANK(K14,K3:K32,0)</f>
        <v>7</v>
      </c>
      <c r="M14" s="18">
        <f t="shared" si="1"/>
        <v>7</v>
      </c>
    </row>
    <row r="15" spans="1:13" ht="12.75">
      <c r="A15" s="24"/>
      <c r="B15" s="25"/>
      <c r="C15" s="25"/>
      <c r="D15" s="25"/>
      <c r="E15" s="25"/>
      <c r="F15" s="25"/>
      <c r="G15" s="15"/>
      <c r="H15" s="15"/>
      <c r="I15" s="15"/>
      <c r="J15" s="15"/>
      <c r="K15" s="23"/>
      <c r="L15" s="17"/>
      <c r="M15" s="18"/>
    </row>
    <row r="16" spans="1:13" ht="12.75">
      <c r="A16" s="24"/>
      <c r="B16" s="25"/>
      <c r="C16" s="25"/>
      <c r="D16" s="25"/>
      <c r="E16" s="25"/>
      <c r="F16" s="25"/>
      <c r="G16" s="15"/>
      <c r="H16" s="15"/>
      <c r="I16" s="15"/>
      <c r="J16" s="15"/>
      <c r="K16" s="23"/>
      <c r="L16" s="17"/>
      <c r="M16" s="18"/>
    </row>
    <row r="17" spans="1:13" ht="12.75">
      <c r="A17" s="61"/>
      <c r="B17" s="62"/>
      <c r="E17" s="62"/>
      <c r="F17" s="62"/>
      <c r="G17" s="54"/>
      <c r="H17" s="54"/>
      <c r="I17" s="54"/>
      <c r="J17" s="54"/>
      <c r="K17" s="63"/>
      <c r="L17" s="56"/>
      <c r="M17" s="46"/>
    </row>
    <row r="18" spans="1:13" ht="12.75">
      <c r="A18" s="61"/>
      <c r="B18" s="62"/>
      <c r="E18" s="62"/>
      <c r="F18" s="62"/>
      <c r="G18" s="54"/>
      <c r="H18" s="54"/>
      <c r="I18" s="54"/>
      <c r="J18" s="54"/>
      <c r="K18" s="63"/>
      <c r="L18" s="56"/>
      <c r="M18" s="46"/>
    </row>
    <row r="19" spans="1:13" ht="12.75">
      <c r="A19" s="61"/>
      <c r="B19" s="62"/>
      <c r="E19" s="62"/>
      <c r="F19" s="62"/>
      <c r="G19" s="54"/>
      <c r="H19" s="54"/>
      <c r="I19" s="54"/>
      <c r="J19" s="54"/>
      <c r="K19" s="63"/>
      <c r="L19" s="56"/>
      <c r="M19" s="46"/>
    </row>
    <row r="20" spans="1:13" ht="12.75">
      <c r="A20" s="61"/>
      <c r="B20" s="62"/>
      <c r="C20" s="62" t="s">
        <v>49</v>
      </c>
      <c r="D20" s="62"/>
      <c r="E20" s="62"/>
      <c r="F20" s="62"/>
      <c r="G20" s="54"/>
      <c r="H20" s="54"/>
      <c r="I20" s="54"/>
      <c r="J20" s="54"/>
      <c r="K20" s="63"/>
      <c r="L20" s="56"/>
      <c r="M20" s="46"/>
    </row>
    <row r="21" spans="1:13" ht="12.75">
      <c r="A21" s="61"/>
      <c r="B21" s="62"/>
      <c r="C21" s="9" t="s">
        <v>58</v>
      </c>
      <c r="D21" s="9" t="s">
        <v>59</v>
      </c>
      <c r="E21" s="62"/>
      <c r="F21" s="62"/>
      <c r="G21" s="54"/>
      <c r="H21" s="54"/>
      <c r="I21" s="54"/>
      <c r="J21" s="54"/>
      <c r="K21" s="63"/>
      <c r="L21" s="56"/>
      <c r="M21" s="46"/>
    </row>
    <row r="22" spans="1:13" ht="12.75">
      <c r="A22" s="61"/>
      <c r="B22" s="62"/>
      <c r="C22" s="62" t="s">
        <v>48</v>
      </c>
      <c r="D22" s="62" t="s">
        <v>47</v>
      </c>
      <c r="E22" s="62"/>
      <c r="F22" s="62"/>
      <c r="G22" s="54"/>
      <c r="H22" s="54"/>
      <c r="I22" s="54"/>
      <c r="J22" s="54"/>
      <c r="K22" s="63"/>
      <c r="L22" s="56"/>
      <c r="M22" s="46"/>
    </row>
    <row r="23" spans="3:13" ht="12.75">
      <c r="C23" s="62" t="s">
        <v>50</v>
      </c>
      <c r="D23" s="62" t="s">
        <v>51</v>
      </c>
      <c r="K23" s="2"/>
      <c r="M23" s="5"/>
    </row>
    <row r="24" spans="1:13" ht="12.75">
      <c r="A24" s="10"/>
      <c r="C24" s="75" t="s">
        <v>52</v>
      </c>
      <c r="D24" s="62" t="s">
        <v>53</v>
      </c>
      <c r="K24" s="2"/>
      <c r="M24" s="5"/>
    </row>
    <row r="25" spans="3:13" ht="12.75">
      <c r="C25" s="74" t="s">
        <v>54</v>
      </c>
      <c r="D25" s="62" t="s">
        <v>55</v>
      </c>
      <c r="K25" s="2"/>
      <c r="M25" s="5"/>
    </row>
    <row r="26" spans="3:13" ht="12.75">
      <c r="C26" s="74" t="s">
        <v>56</v>
      </c>
      <c r="D26" s="62" t="s">
        <v>57</v>
      </c>
      <c r="K26" s="2"/>
      <c r="M26" s="5"/>
    </row>
    <row r="27" spans="3:13" ht="12.75">
      <c r="C27" s="9" t="s">
        <v>60</v>
      </c>
      <c r="D27" s="1">
        <v>0</v>
      </c>
      <c r="K27" s="2"/>
      <c r="M27" s="5"/>
    </row>
    <row r="28" spans="4:13" ht="12.75">
      <c r="D28" s="1"/>
      <c r="K28" s="2"/>
      <c r="M28" s="5"/>
    </row>
    <row r="29" spans="11:13" ht="12.75">
      <c r="K29" s="2"/>
      <c r="M29" s="5"/>
    </row>
    <row r="30" spans="11:13" ht="12.75">
      <c r="K30" s="2"/>
      <c r="M30" s="5"/>
    </row>
    <row r="31" spans="11:13" ht="12.75">
      <c r="K31" s="2"/>
      <c r="M31" s="5"/>
    </row>
    <row r="32" spans="11:13" ht="12.75">
      <c r="K32" s="2"/>
      <c r="M32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N3" sqref="N3:N14"/>
    </sheetView>
  </sheetViews>
  <sheetFormatPr defaultColWidth="9.140625" defaultRowHeight="12.75"/>
  <cols>
    <col min="1" max="1" width="20.8515625" style="0" bestFit="1" customWidth="1"/>
    <col min="2" max="3" width="8.00390625" style="0" bestFit="1" customWidth="1"/>
    <col min="4" max="4" width="12.140625" style="0" customWidth="1"/>
    <col min="5" max="5" width="10.57421875" style="0" customWidth="1"/>
    <col min="6" max="6" width="0.13671875" style="0" hidden="1" customWidth="1"/>
    <col min="7" max="7" width="9.57421875" style="0" bestFit="1" customWidth="1"/>
    <col min="8" max="8" width="8.7109375" style="0" customWidth="1"/>
    <col min="9" max="9" width="10.57421875" style="0" customWidth="1"/>
    <col min="10" max="10" width="5.7109375" style="0" customWidth="1"/>
    <col min="11" max="11" width="6.00390625" style="0" customWidth="1"/>
    <col min="12" max="12" width="8.8515625" style="6" customWidth="1"/>
    <col min="13" max="13" width="7.57421875" style="4" customWidth="1"/>
    <col min="14" max="14" width="5.28125" style="0" customWidth="1"/>
  </cols>
  <sheetData>
    <row r="1" spans="1:6" ht="21.75" customHeight="1">
      <c r="A1" s="84" t="s">
        <v>38</v>
      </c>
      <c r="B1" s="84"/>
      <c r="C1" s="84"/>
      <c r="D1" s="84"/>
      <c r="E1" s="84"/>
      <c r="F1" s="84"/>
    </row>
    <row r="2" spans="1:15" ht="40.5" customHeight="1">
      <c r="A2" s="43" t="s">
        <v>12</v>
      </c>
      <c r="B2" s="44" t="s">
        <v>26</v>
      </c>
      <c r="C2" s="44" t="s">
        <v>27</v>
      </c>
      <c r="D2" s="44" t="s">
        <v>28</v>
      </c>
      <c r="E2" s="44" t="s">
        <v>29</v>
      </c>
      <c r="F2" s="44"/>
      <c r="G2" s="44" t="s">
        <v>34</v>
      </c>
      <c r="H2" s="44" t="s">
        <v>37</v>
      </c>
      <c r="I2" s="44" t="s">
        <v>36</v>
      </c>
      <c r="J2" s="44" t="s">
        <v>35</v>
      </c>
      <c r="K2" s="44" t="s">
        <v>0</v>
      </c>
      <c r="L2" s="49" t="s">
        <v>30</v>
      </c>
      <c r="M2" s="44" t="s">
        <v>31</v>
      </c>
      <c r="N2" s="45" t="s">
        <v>3</v>
      </c>
      <c r="O2" s="45" t="s">
        <v>3</v>
      </c>
    </row>
    <row r="3" spans="1:15" ht="12.75">
      <c r="A3" s="15" t="s">
        <v>62</v>
      </c>
      <c r="B3" s="38">
        <v>0</v>
      </c>
      <c r="C3" s="38">
        <v>0.044259259259259255</v>
      </c>
      <c r="D3" s="38">
        <v>0.041666666666666664</v>
      </c>
      <c r="E3" s="38">
        <f aca="true" t="shared" si="0" ref="E3:E12">C3-B3</f>
        <v>0.044259259259259255</v>
      </c>
      <c r="F3" s="15">
        <f>HOUR(C3-B3)*3600+MINUTE(C3-B3)*60+SECOND(C3-B3)</f>
        <v>3824</v>
      </c>
      <c r="G3" s="24">
        <f>3*60+44</f>
        <v>224</v>
      </c>
      <c r="H3" s="15">
        <v>116900</v>
      </c>
      <c r="I3" s="15">
        <v>116300</v>
      </c>
      <c r="J3" s="15">
        <f aca="true" t="shared" si="1" ref="J3:J12">H3-I3</f>
        <v>600</v>
      </c>
      <c r="K3" s="35">
        <f>G20*1000*G21/J3</f>
        <v>1200</v>
      </c>
      <c r="L3" s="35">
        <f aca="true" t="shared" si="2" ref="L3:L12">MAX(0,(G3-60-1)*0.5)</f>
        <v>81.5</v>
      </c>
      <c r="M3" s="35">
        <f aca="true" t="shared" si="3" ref="M3:M12">MAX(0,K3-L3)</f>
        <v>1118.5</v>
      </c>
      <c r="N3" s="20">
        <f>RANK(M3,M3:M14)</f>
        <v>1</v>
      </c>
      <c r="O3" s="20" t="str">
        <f aca="true" t="shared" si="4" ref="O3:O14">IF(N3&lt;4,ROMAN(N3),N3)</f>
        <v>I</v>
      </c>
    </row>
    <row r="4" spans="1:15" ht="12.75">
      <c r="A4" s="15" t="s">
        <v>63</v>
      </c>
      <c r="B4" s="38">
        <v>0.011168981481481481</v>
      </c>
      <c r="C4" s="38">
        <v>0.052662037037037035</v>
      </c>
      <c r="D4" s="38">
        <v>0.041666666666666664</v>
      </c>
      <c r="E4" s="38">
        <f t="shared" si="0"/>
        <v>0.041493055555555554</v>
      </c>
      <c r="F4" s="15">
        <f>HOUR(C4-B4)*3600+MINUTE(C4-B4)*60+SECOND(C4-B4)</f>
        <v>3585</v>
      </c>
      <c r="G4" s="15">
        <v>15</v>
      </c>
      <c r="H4" s="15">
        <v>100200</v>
      </c>
      <c r="I4" s="15">
        <v>98700</v>
      </c>
      <c r="J4" s="15">
        <f t="shared" si="1"/>
        <v>1500</v>
      </c>
      <c r="K4" s="35">
        <f>G20*1000*G21/J4</f>
        <v>480</v>
      </c>
      <c r="L4" s="35">
        <f t="shared" si="2"/>
        <v>0</v>
      </c>
      <c r="M4" s="35">
        <f t="shared" si="3"/>
        <v>480</v>
      </c>
      <c r="N4" s="20">
        <f>RANK(M4,M3:M14)</f>
        <v>3</v>
      </c>
      <c r="O4" s="20" t="str">
        <f t="shared" si="4"/>
        <v>III</v>
      </c>
    </row>
    <row r="5" spans="1:15" ht="12.75">
      <c r="A5" s="15" t="s">
        <v>64</v>
      </c>
      <c r="B5" s="38">
        <v>0.0013078703703703705</v>
      </c>
      <c r="C5" s="38">
        <v>0.046828703703703706</v>
      </c>
      <c r="D5" s="38">
        <v>0.041666666666666664</v>
      </c>
      <c r="E5" s="38">
        <f t="shared" si="0"/>
        <v>0.04552083333333334</v>
      </c>
      <c r="F5" s="15"/>
      <c r="G5" s="24">
        <f>5*60+33</f>
        <v>333</v>
      </c>
      <c r="H5" s="15">
        <v>127750</v>
      </c>
      <c r="I5" s="15">
        <v>127090</v>
      </c>
      <c r="J5" s="15">
        <f t="shared" si="1"/>
        <v>660</v>
      </c>
      <c r="K5" s="35">
        <f>G20*1000*G21/J5</f>
        <v>1090.909090909091</v>
      </c>
      <c r="L5" s="35">
        <f t="shared" si="2"/>
        <v>136</v>
      </c>
      <c r="M5" s="35">
        <f t="shared" si="3"/>
        <v>954.909090909091</v>
      </c>
      <c r="N5" s="20">
        <f>RANK(M5,M3:M14)</f>
        <v>2</v>
      </c>
      <c r="O5" s="20" t="str">
        <f t="shared" si="4"/>
        <v>II</v>
      </c>
    </row>
    <row r="6" spans="1:15" ht="12.75">
      <c r="A6" s="15" t="s">
        <v>65</v>
      </c>
      <c r="B6" s="38">
        <v>0.009432870370370371</v>
      </c>
      <c r="C6" s="38">
        <v>0.04270833333333333</v>
      </c>
      <c r="D6" s="38">
        <v>0.041666666666666664</v>
      </c>
      <c r="E6" s="38">
        <f t="shared" si="0"/>
        <v>0.03327546296296296</v>
      </c>
      <c r="F6" s="15">
        <f>HOUR(C6-B6)*3600+MINUTE(C6-B6)*60+SECOND(C6-B6)</f>
        <v>2875</v>
      </c>
      <c r="G6" s="69">
        <f>12*60+5</f>
        <v>725</v>
      </c>
      <c r="H6" s="15">
        <v>117400</v>
      </c>
      <c r="I6" s="15">
        <v>111500</v>
      </c>
      <c r="J6" s="15">
        <f t="shared" si="1"/>
        <v>5900</v>
      </c>
      <c r="K6" s="35">
        <f>G20*1000*G21/J6</f>
        <v>122.03389830508475</v>
      </c>
      <c r="L6" s="35">
        <f t="shared" si="2"/>
        <v>332</v>
      </c>
      <c r="M6" s="35">
        <f t="shared" si="3"/>
        <v>0</v>
      </c>
      <c r="N6" s="20">
        <f>RANK(M6,M3:M14)</f>
        <v>11</v>
      </c>
      <c r="O6" s="20">
        <f t="shared" si="4"/>
        <v>11</v>
      </c>
    </row>
    <row r="7" spans="1:15" ht="12.75">
      <c r="A7" s="15" t="s">
        <v>66</v>
      </c>
      <c r="B7" s="38">
        <v>0.016863425925925928</v>
      </c>
      <c r="C7" s="38">
        <v>0.057638888888888885</v>
      </c>
      <c r="D7" s="38">
        <v>0.041666666666666664</v>
      </c>
      <c r="E7" s="38">
        <f t="shared" si="0"/>
        <v>0.04077546296296296</v>
      </c>
      <c r="F7" s="15"/>
      <c r="G7" s="15">
        <f>60+17</f>
        <v>77</v>
      </c>
      <c r="H7" s="15">
        <v>112300</v>
      </c>
      <c r="I7" s="15">
        <v>110800</v>
      </c>
      <c r="J7" s="15">
        <f t="shared" si="1"/>
        <v>1500</v>
      </c>
      <c r="K7" s="35">
        <f>G20*1000*G21/J7</f>
        <v>480</v>
      </c>
      <c r="L7" s="35">
        <f t="shared" si="2"/>
        <v>8</v>
      </c>
      <c r="M7" s="35">
        <f t="shared" si="3"/>
        <v>472</v>
      </c>
      <c r="N7" s="20">
        <f>RANK(M7,M3:M14)</f>
        <v>4</v>
      </c>
      <c r="O7" s="20">
        <f t="shared" si="4"/>
        <v>4</v>
      </c>
    </row>
    <row r="8" spans="1:15" ht="12.75">
      <c r="A8" s="15" t="s">
        <v>91</v>
      </c>
      <c r="B8" s="38">
        <v>0.013171296296296294</v>
      </c>
      <c r="C8" s="38">
        <v>0.05447916666666667</v>
      </c>
      <c r="D8" s="38">
        <v>0.041666666666666664</v>
      </c>
      <c r="E8" s="38">
        <f t="shared" si="0"/>
        <v>0.04130787037037038</v>
      </c>
      <c r="F8" s="15"/>
      <c r="G8" s="15">
        <v>31</v>
      </c>
      <c r="H8" s="15">
        <v>116600</v>
      </c>
      <c r="I8" s="15">
        <v>113200</v>
      </c>
      <c r="J8" s="15">
        <f t="shared" si="1"/>
        <v>3400</v>
      </c>
      <c r="K8" s="35">
        <f>G20*1000*G21/J8</f>
        <v>211.76470588235293</v>
      </c>
      <c r="L8" s="35">
        <f t="shared" si="2"/>
        <v>0</v>
      </c>
      <c r="M8" s="35">
        <f t="shared" si="3"/>
        <v>211.76470588235293</v>
      </c>
      <c r="N8" s="20">
        <f>RANK(M8,M3:M14)</f>
        <v>8</v>
      </c>
      <c r="O8" s="20">
        <f t="shared" si="4"/>
        <v>8</v>
      </c>
    </row>
    <row r="9" spans="1:15" ht="12.75">
      <c r="A9" s="15" t="s">
        <v>67</v>
      </c>
      <c r="B9" s="38">
        <v>0.006851851851851852</v>
      </c>
      <c r="C9" s="38">
        <v>0.04878472222222222</v>
      </c>
      <c r="D9" s="38">
        <v>0.041666666666666664</v>
      </c>
      <c r="E9" s="38">
        <f t="shared" si="0"/>
        <v>0.04193287037037037</v>
      </c>
      <c r="F9" s="15">
        <f>HOUR(C9-B9)*3600+MINUTE(C9-B9)*60+SECOND(C9-B9)</f>
        <v>3623</v>
      </c>
      <c r="G9" s="15">
        <v>23</v>
      </c>
      <c r="H9" s="15">
        <v>114700</v>
      </c>
      <c r="I9" s="15">
        <v>112500</v>
      </c>
      <c r="J9" s="15">
        <f t="shared" si="1"/>
        <v>2200</v>
      </c>
      <c r="K9" s="35">
        <f>G20*1000*G21/J9</f>
        <v>327.27272727272725</v>
      </c>
      <c r="L9" s="35">
        <f t="shared" si="2"/>
        <v>0</v>
      </c>
      <c r="M9" s="35">
        <f t="shared" si="3"/>
        <v>327.27272727272725</v>
      </c>
      <c r="N9" s="20">
        <f>RANK(M9,M3:M14)</f>
        <v>5</v>
      </c>
      <c r="O9" s="20">
        <f t="shared" si="4"/>
        <v>5</v>
      </c>
    </row>
    <row r="10" spans="1:15" ht="12.75">
      <c r="A10" s="15" t="s">
        <v>68</v>
      </c>
      <c r="B10" s="38">
        <v>0.014872685185185185</v>
      </c>
      <c r="C10" s="38">
        <v>0.056365740740740744</v>
      </c>
      <c r="D10" s="38">
        <v>0.041666666666666664</v>
      </c>
      <c r="E10" s="38">
        <f t="shared" si="0"/>
        <v>0.04149305555555556</v>
      </c>
      <c r="F10" s="15">
        <f>HOUR(C10-B10)*3600+MINUTE(C10-B10)*60+SECOND(C10-B10)</f>
        <v>3585</v>
      </c>
      <c r="G10" s="15">
        <v>15</v>
      </c>
      <c r="H10" s="15">
        <v>114800</v>
      </c>
      <c r="I10" s="15">
        <v>111900</v>
      </c>
      <c r="J10" s="15">
        <f t="shared" si="1"/>
        <v>2900</v>
      </c>
      <c r="K10" s="35">
        <f>G20*1000*G21/J10</f>
        <v>248.27586206896552</v>
      </c>
      <c r="L10" s="35">
        <f t="shared" si="2"/>
        <v>0</v>
      </c>
      <c r="M10" s="35">
        <f t="shared" si="3"/>
        <v>248.27586206896552</v>
      </c>
      <c r="N10" s="20">
        <f>RANK(M10,M3:M14)</f>
        <v>6</v>
      </c>
      <c r="O10" s="20">
        <f t="shared" si="4"/>
        <v>6</v>
      </c>
    </row>
    <row r="11" spans="1:15" ht="12.75">
      <c r="A11" s="15" t="s">
        <v>69</v>
      </c>
      <c r="B11" s="38">
        <v>0.017905092592592594</v>
      </c>
      <c r="C11" s="38">
        <v>0.05925925925925926</v>
      </c>
      <c r="D11" s="38">
        <v>0.041666666666666664</v>
      </c>
      <c r="E11" s="38">
        <f t="shared" si="0"/>
        <v>0.041354166666666664</v>
      </c>
      <c r="F11" s="15">
        <f>HOUR(C11-B11)*3600+MINUTE(C11-B11)*60+SECOND(C11-B11)</f>
        <v>3573</v>
      </c>
      <c r="G11" s="15">
        <v>27</v>
      </c>
      <c r="H11" s="15">
        <v>137100</v>
      </c>
      <c r="I11" s="15">
        <v>133400</v>
      </c>
      <c r="J11" s="15">
        <f t="shared" si="1"/>
        <v>3700</v>
      </c>
      <c r="K11" s="35">
        <f>G20*1000*G21/J11</f>
        <v>194.59459459459458</v>
      </c>
      <c r="L11" s="35">
        <f t="shared" si="2"/>
        <v>0</v>
      </c>
      <c r="M11" s="35">
        <f t="shared" si="3"/>
        <v>194.59459459459458</v>
      </c>
      <c r="N11" s="20">
        <f>RANK(M11,M3:M14)</f>
        <v>9</v>
      </c>
      <c r="O11" s="20">
        <f t="shared" si="4"/>
        <v>9</v>
      </c>
    </row>
    <row r="12" spans="1:15" ht="12.75">
      <c r="A12" s="50" t="s">
        <v>70</v>
      </c>
      <c r="B12" s="38">
        <v>0.018865740740740742</v>
      </c>
      <c r="C12" s="38">
        <v>0.06015046296296297</v>
      </c>
      <c r="D12" s="38">
        <v>0.041666666666666664</v>
      </c>
      <c r="E12" s="38">
        <f t="shared" si="0"/>
        <v>0.04128472222222222</v>
      </c>
      <c r="F12" s="15">
        <f>HOUR(C12-B12)*3600+MINUTE(C12-B12)*60+SECOND(C12-B12)</f>
        <v>3567</v>
      </c>
      <c r="G12" s="15">
        <v>33</v>
      </c>
      <c r="H12" s="15">
        <v>148100</v>
      </c>
      <c r="I12" s="15">
        <v>145090</v>
      </c>
      <c r="J12" s="15">
        <f t="shared" si="1"/>
        <v>3010</v>
      </c>
      <c r="K12" s="35">
        <f>G20*1000*G21/J12</f>
        <v>239.20265780730898</v>
      </c>
      <c r="L12" s="35">
        <f t="shared" si="2"/>
        <v>0</v>
      </c>
      <c r="M12" s="35">
        <f t="shared" si="3"/>
        <v>239.20265780730898</v>
      </c>
      <c r="N12" s="20">
        <f>RANK(M12,M3:M14)</f>
        <v>7</v>
      </c>
      <c r="O12" s="20">
        <f t="shared" si="4"/>
        <v>7</v>
      </c>
    </row>
    <row r="13" spans="1:15" ht="12.75">
      <c r="A13" s="15" t="s">
        <v>71</v>
      </c>
      <c r="B13" s="38" t="s">
        <v>33</v>
      </c>
      <c r="C13" s="38" t="s">
        <v>33</v>
      </c>
      <c r="D13" s="38" t="s">
        <v>33</v>
      </c>
      <c r="E13" s="38" t="s">
        <v>33</v>
      </c>
      <c r="F13" s="15" t="e">
        <f>HOUR(C13-B13)*3600+MINUTE(C13-B13)*60+SECOND(C13-B13)</f>
        <v>#VALUE!</v>
      </c>
      <c r="G13" s="69" t="s">
        <v>33</v>
      </c>
      <c r="H13" s="69" t="s">
        <v>33</v>
      </c>
      <c r="I13" s="69" t="s">
        <v>33</v>
      </c>
      <c r="J13" s="69" t="s">
        <v>33</v>
      </c>
      <c r="K13" s="71" t="s">
        <v>33</v>
      </c>
      <c r="L13" s="71" t="s">
        <v>33</v>
      </c>
      <c r="M13" s="71" t="s">
        <v>33</v>
      </c>
      <c r="N13" s="20" t="s">
        <v>33</v>
      </c>
      <c r="O13" s="20" t="str">
        <f t="shared" si="4"/>
        <v>-</v>
      </c>
    </row>
    <row r="14" spans="1:15" ht="12.75">
      <c r="A14" s="15" t="s">
        <v>72</v>
      </c>
      <c r="B14" s="38">
        <v>0.0096875</v>
      </c>
      <c r="C14" s="38">
        <v>0.05162037037037037</v>
      </c>
      <c r="D14" s="38">
        <v>0.041666666666666664</v>
      </c>
      <c r="E14" s="38">
        <f>C14-B14</f>
        <v>0.04193287037037037</v>
      </c>
      <c r="F14" s="15"/>
      <c r="G14" s="15">
        <v>23</v>
      </c>
      <c r="H14" s="35">
        <v>116900</v>
      </c>
      <c r="I14" s="35">
        <v>112000</v>
      </c>
      <c r="J14" s="15">
        <f>H14-I14</f>
        <v>4900</v>
      </c>
      <c r="K14" s="35">
        <f>G20*1000*G21/J14</f>
        <v>146.9387755102041</v>
      </c>
      <c r="L14" s="35">
        <f>MAX(0,(G14-60-1)*0.5)</f>
        <v>0</v>
      </c>
      <c r="M14" s="35">
        <f>MAX(0,K14-L14)</f>
        <v>146.9387755102041</v>
      </c>
      <c r="N14" s="20">
        <f>RANK(M14,M3:M14)</f>
        <v>10</v>
      </c>
      <c r="O14" s="20">
        <f t="shared" si="4"/>
        <v>10</v>
      </c>
    </row>
    <row r="15" spans="1:13" ht="12.75">
      <c r="A15" s="64"/>
      <c r="B15" s="65"/>
      <c r="C15" s="65"/>
      <c r="D15" s="65"/>
      <c r="E15" s="65"/>
      <c r="F15" s="54"/>
      <c r="G15" s="54"/>
      <c r="H15" s="60"/>
      <c r="I15" s="60"/>
      <c r="J15" s="54"/>
      <c r="K15" s="60"/>
      <c r="L15" s="72"/>
      <c r="M15" s="46"/>
    </row>
    <row r="16" spans="1:13" ht="12.75">
      <c r="A16" s="64"/>
      <c r="B16" s="65"/>
      <c r="C16" s="65"/>
      <c r="D16" s="65"/>
      <c r="E16" s="65"/>
      <c r="F16" s="54"/>
      <c r="G16" s="54"/>
      <c r="H16" s="60"/>
      <c r="I16" s="60"/>
      <c r="J16" s="54"/>
      <c r="K16" s="60"/>
      <c r="L16" s="66"/>
      <c r="M16" s="46"/>
    </row>
    <row r="17" spans="1:13" ht="12.75">
      <c r="A17" s="64"/>
      <c r="B17" s="70" t="s">
        <v>39</v>
      </c>
      <c r="E17" s="33" t="s">
        <v>40</v>
      </c>
      <c r="F17" t="s">
        <v>22</v>
      </c>
      <c r="I17" s="60"/>
      <c r="J17" s="54"/>
      <c r="K17" s="60"/>
      <c r="L17" s="66"/>
      <c r="M17" s="46"/>
    </row>
    <row r="18" spans="1:13" ht="12.75">
      <c r="A18" s="64"/>
      <c r="D18" s="60"/>
      <c r="E18" s="65"/>
      <c r="F18" s="54"/>
      <c r="G18" s="54"/>
      <c r="H18" s="54"/>
      <c r="I18" s="54"/>
      <c r="J18" s="54"/>
      <c r="K18" s="54"/>
      <c r="L18" s="56"/>
      <c r="M18" s="46"/>
    </row>
    <row r="19" spans="1:13" ht="12.75">
      <c r="A19" s="64"/>
      <c r="B19" s="73" t="s">
        <v>14</v>
      </c>
      <c r="D19" s="60"/>
      <c r="E19" s="54"/>
      <c r="F19" s="54"/>
      <c r="G19" s="54"/>
      <c r="H19" s="54"/>
      <c r="I19" s="54"/>
      <c r="J19" s="54"/>
      <c r="K19" s="54"/>
      <c r="L19" s="56"/>
      <c r="M19" s="46"/>
    </row>
    <row r="20" spans="1:13" ht="12.75">
      <c r="A20" s="64"/>
      <c r="B20" s="70" t="s">
        <v>41</v>
      </c>
      <c r="G20" s="70">
        <f>1.2</f>
        <v>1.2</v>
      </c>
      <c r="H20" s="54"/>
      <c r="I20" s="54"/>
      <c r="J20" s="54"/>
      <c r="K20" s="54"/>
      <c r="L20" s="56"/>
      <c r="M20" s="46"/>
    </row>
    <row r="21" spans="1:13" ht="12.75">
      <c r="A21" s="64"/>
      <c r="B21" s="70" t="s">
        <v>42</v>
      </c>
      <c r="G21">
        <f>MIN(J3:J14)</f>
        <v>600</v>
      </c>
      <c r="H21" s="54"/>
      <c r="I21" s="54"/>
      <c r="J21" s="54"/>
      <c r="K21" s="54"/>
      <c r="L21" s="56"/>
      <c r="M21" s="46"/>
    </row>
    <row r="22" spans="1:13" ht="12.75">
      <c r="A22" s="64"/>
      <c r="B22" s="73" t="s">
        <v>43</v>
      </c>
      <c r="C22" s="67"/>
      <c r="D22" s="60"/>
      <c r="E22" s="54"/>
      <c r="F22" s="54"/>
      <c r="G22" s="54"/>
      <c r="H22" s="54"/>
      <c r="I22" s="54"/>
      <c r="J22" s="54"/>
      <c r="K22" s="54"/>
      <c r="L22" s="56"/>
      <c r="M22" s="46"/>
    </row>
    <row r="23" spans="2:13" ht="12.75">
      <c r="B23" s="70" t="s">
        <v>44</v>
      </c>
      <c r="M23" s="5"/>
    </row>
    <row r="24" spans="2:13" ht="12.75">
      <c r="B24" s="9"/>
      <c r="C24" s="70" t="s">
        <v>45</v>
      </c>
      <c r="K24" s="7"/>
      <c r="M24" s="5"/>
    </row>
    <row r="25" spans="2:13" ht="12.75">
      <c r="B25" s="9"/>
      <c r="K25" s="7"/>
      <c r="M25" s="5"/>
    </row>
    <row r="26" spans="2:13" ht="12.75">
      <c r="B26" s="9"/>
      <c r="K26" s="7"/>
      <c r="M26" s="5"/>
    </row>
    <row r="27" spans="2:13" ht="12.75">
      <c r="B27" s="9"/>
      <c r="K27" s="7"/>
      <c r="M27" s="5"/>
    </row>
    <row r="28" spans="2:13" ht="12.75">
      <c r="B28" s="9"/>
      <c r="D28" t="s">
        <v>24</v>
      </c>
      <c r="K28" s="7"/>
      <c r="M28" s="5"/>
    </row>
    <row r="29" spans="2:13" ht="12.75">
      <c r="B29" s="9"/>
      <c r="D29" t="s">
        <v>25</v>
      </c>
      <c r="K29" s="7"/>
      <c r="M29" s="5"/>
    </row>
    <row r="30" ht="12.75">
      <c r="M30" s="5"/>
    </row>
    <row r="31" ht="12.75">
      <c r="M31" s="5"/>
    </row>
    <row r="32" spans="6:13" ht="12.75">
      <c r="F32" s="42" t="e">
        <f>MIN(F3:F22)</f>
        <v>#VALUE!</v>
      </c>
      <c r="M32" s="5"/>
    </row>
    <row r="35" ht="17.25" customHeight="1">
      <c r="E35">
        <f>MAX(E3:E32)</f>
        <v>0.04552083333333334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4" sqref="A3:A14"/>
    </sheetView>
  </sheetViews>
  <sheetFormatPr defaultColWidth="9.140625" defaultRowHeight="12.75"/>
  <cols>
    <col min="1" max="1" width="20.8515625" style="0" bestFit="1" customWidth="1"/>
    <col min="2" max="2" width="19.8515625" style="30" bestFit="1" customWidth="1"/>
    <col min="3" max="3" width="18.7109375" style="30" customWidth="1"/>
    <col min="4" max="4" width="0.13671875" style="0" hidden="1" customWidth="1"/>
    <col min="5" max="5" width="14.140625" style="0" customWidth="1"/>
    <col min="6" max="6" width="19.00390625" style="0" customWidth="1"/>
    <col min="7" max="7" width="18.00390625" style="0" customWidth="1"/>
    <col min="8" max="8" width="12.8515625" style="0" hidden="1" customWidth="1"/>
    <col min="9" max="9" width="12.8515625" style="0" bestFit="1" customWidth="1"/>
    <col min="10" max="10" width="4.57421875" style="0" hidden="1" customWidth="1"/>
    <col min="11" max="11" width="12.28125" style="0" customWidth="1"/>
    <col min="12" max="12" width="7.00390625" style="0" hidden="1" customWidth="1"/>
    <col min="13" max="13" width="8.140625" style="4" customWidth="1"/>
  </cols>
  <sheetData>
    <row r="1" spans="1:12" ht="31.5" customHeight="1">
      <c r="A1" s="83" t="s">
        <v>76</v>
      </c>
      <c r="B1" s="83"/>
      <c r="C1" s="83"/>
      <c r="D1" s="83"/>
      <c r="E1" s="83"/>
      <c r="F1" s="83"/>
      <c r="L1" s="6"/>
    </row>
    <row r="2" spans="1:13" ht="12.75">
      <c r="A2" s="21" t="s">
        <v>12</v>
      </c>
      <c r="B2" s="31" t="s">
        <v>77</v>
      </c>
      <c r="C2" s="31" t="s">
        <v>78</v>
      </c>
      <c r="D2" s="15"/>
      <c r="E2" s="31" t="s">
        <v>81</v>
      </c>
      <c r="F2" s="31" t="s">
        <v>79</v>
      </c>
      <c r="G2" s="31" t="s">
        <v>80</v>
      </c>
      <c r="H2" s="15"/>
      <c r="I2" s="31" t="s">
        <v>82</v>
      </c>
      <c r="J2" s="31"/>
      <c r="K2" s="31" t="s">
        <v>83</v>
      </c>
      <c r="L2" s="17" t="s">
        <v>3</v>
      </c>
      <c r="M2" s="20" t="s">
        <v>3</v>
      </c>
    </row>
    <row r="3" spans="1:13" ht="12.75">
      <c r="A3" s="15" t="s">
        <v>62</v>
      </c>
      <c r="B3" s="29">
        <v>56</v>
      </c>
      <c r="C3" s="29">
        <v>5</v>
      </c>
      <c r="D3" s="15">
        <f>IF(B3&gt;0,C3/B3,"")</f>
        <v>0.08928571428571429</v>
      </c>
      <c r="E3" s="34">
        <f>IF(B3&gt;0,ROUND(1000*(D3/D35),0),0)</f>
        <v>964</v>
      </c>
      <c r="F3" s="15">
        <v>53</v>
      </c>
      <c r="G3" s="15">
        <v>5</v>
      </c>
      <c r="H3" s="15">
        <f>IF(F3&gt;0,G3/F3,"")</f>
        <v>0.09433962264150944</v>
      </c>
      <c r="I3" s="34">
        <f>IF(F3&gt;0,ROUND(1000*(H3/H35),0),0)</f>
        <v>981</v>
      </c>
      <c r="J3" s="34"/>
      <c r="K3" s="15">
        <f>E3+I3</f>
        <v>1945</v>
      </c>
      <c r="L3" s="15">
        <f>RANK(K3,K3:K32,0)</f>
        <v>2</v>
      </c>
      <c r="M3" s="18" t="str">
        <f>IF(L3&lt;4,ROMAN(L3),L3)</f>
        <v>II</v>
      </c>
    </row>
    <row r="4" spans="1:13" ht="12.75">
      <c r="A4" s="15" t="s">
        <v>63</v>
      </c>
      <c r="B4" s="29">
        <v>64</v>
      </c>
      <c r="C4" s="29">
        <v>5</v>
      </c>
      <c r="D4" s="15">
        <f aca="true" t="shared" si="0" ref="D4:D22">IF(B4&gt;0,C4/B4,"")</f>
        <v>0.078125</v>
      </c>
      <c r="E4" s="34">
        <f>IF(B4&gt;0,ROUND(1000*(D4/D35),0),0)</f>
        <v>844</v>
      </c>
      <c r="F4" s="15">
        <v>56</v>
      </c>
      <c r="G4" s="15">
        <v>5</v>
      </c>
      <c r="H4" s="15">
        <f aca="true" t="shared" si="1" ref="H4:H16">IF(F4&gt;0,G4/F4,"")</f>
        <v>0.08928571428571429</v>
      </c>
      <c r="I4" s="34">
        <f>IF(F4&gt;0,ROUND(1000*(H4/H35),0),0)</f>
        <v>929</v>
      </c>
      <c r="J4" s="34"/>
      <c r="K4" s="15">
        <f aca="true" t="shared" si="2" ref="K4:K22">E4+I4</f>
        <v>1773</v>
      </c>
      <c r="L4" s="15">
        <f>RANK(K4,K3:K32,0)</f>
        <v>4</v>
      </c>
      <c r="M4" s="18">
        <f aca="true" t="shared" si="3" ref="M4:M14">IF(L4&lt;4,ROMAN(L4),L4)</f>
        <v>4</v>
      </c>
    </row>
    <row r="5" spans="1:13" ht="12.75">
      <c r="A5" s="15" t="s">
        <v>64</v>
      </c>
      <c r="B5" s="29">
        <v>0</v>
      </c>
      <c r="C5" s="29">
        <v>0</v>
      </c>
      <c r="D5" s="15">
        <f t="shared" si="0"/>
      </c>
      <c r="E5" s="34">
        <f>IF(B5&gt;0,ROUND(1000*(D5/D35),0),0)</f>
        <v>0</v>
      </c>
      <c r="F5" s="15">
        <v>0</v>
      </c>
      <c r="G5" s="15">
        <v>0</v>
      </c>
      <c r="H5" s="15">
        <f t="shared" si="1"/>
      </c>
      <c r="I5" s="34">
        <f>IF(F5&gt;0,ROUND(1000*(H5/H35),0),0)</f>
        <v>0</v>
      </c>
      <c r="J5" s="34"/>
      <c r="K5" s="15">
        <f t="shared" si="2"/>
        <v>0</v>
      </c>
      <c r="L5" s="15">
        <f>RANK(K5,K3:K32,0)</f>
        <v>10</v>
      </c>
      <c r="M5" s="18">
        <f t="shared" si="3"/>
        <v>10</v>
      </c>
    </row>
    <row r="6" spans="1:13" ht="12.75">
      <c r="A6" s="15" t="s">
        <v>65</v>
      </c>
      <c r="B6" s="29">
        <v>0</v>
      </c>
      <c r="C6" s="29">
        <v>0</v>
      </c>
      <c r="D6" s="15">
        <f t="shared" si="0"/>
      </c>
      <c r="E6" s="34">
        <f>IF(B6&gt;0,ROUND(1000*(D6/D35),0),0)</f>
        <v>0</v>
      </c>
      <c r="F6" s="15">
        <v>80</v>
      </c>
      <c r="G6" s="15">
        <v>5</v>
      </c>
      <c r="H6" s="15">
        <f t="shared" si="1"/>
        <v>0.0625</v>
      </c>
      <c r="I6" s="34">
        <f>IF(F6&gt;0,ROUND(1000*(H6/H35),0),0)</f>
        <v>650</v>
      </c>
      <c r="J6" s="34"/>
      <c r="K6" s="15">
        <f t="shared" si="2"/>
        <v>650</v>
      </c>
      <c r="L6" s="15">
        <f>RANK(K6,K3:K32,0)</f>
        <v>7</v>
      </c>
      <c r="M6" s="18">
        <f t="shared" si="3"/>
        <v>7</v>
      </c>
    </row>
    <row r="7" spans="1:13" ht="12.75">
      <c r="A7" s="15" t="s">
        <v>66</v>
      </c>
      <c r="B7" s="29">
        <v>0</v>
      </c>
      <c r="C7" s="29">
        <v>0</v>
      </c>
      <c r="D7" s="15">
        <f t="shared" si="0"/>
      </c>
      <c r="E7" s="34">
        <f>IF(B7&gt;0,ROUND(1000*(D7/D35),0),0)</f>
        <v>0</v>
      </c>
      <c r="F7" s="15">
        <v>0</v>
      </c>
      <c r="G7" s="15">
        <v>0</v>
      </c>
      <c r="H7" s="15">
        <f t="shared" si="1"/>
      </c>
      <c r="I7" s="34">
        <f>IF(F7&gt;0,ROUND(1000*(H7/H35),0),0)</f>
        <v>0</v>
      </c>
      <c r="J7" s="34"/>
      <c r="K7" s="15">
        <f t="shared" si="2"/>
        <v>0</v>
      </c>
      <c r="L7" s="15">
        <f>RANK(K7,K3:K32,0)</f>
        <v>10</v>
      </c>
      <c r="M7" s="18">
        <f t="shared" si="3"/>
        <v>10</v>
      </c>
    </row>
    <row r="8" spans="1:13" ht="12.75">
      <c r="A8" s="15" t="s">
        <v>91</v>
      </c>
      <c r="B8" s="29">
        <v>54</v>
      </c>
      <c r="C8" s="29">
        <v>5</v>
      </c>
      <c r="D8" s="15">
        <f t="shared" si="0"/>
        <v>0.09259259259259259</v>
      </c>
      <c r="E8" s="34">
        <f>IF(B8&gt;0,ROUND(1000*(D8/D35),0),0)</f>
        <v>1000</v>
      </c>
      <c r="F8" s="15">
        <v>52</v>
      </c>
      <c r="G8" s="15">
        <v>5</v>
      </c>
      <c r="H8" s="15">
        <f t="shared" si="1"/>
        <v>0.09615384615384616</v>
      </c>
      <c r="I8" s="34">
        <f>IF(F8&gt;0,ROUND(1000*(H8/H35),0),0)</f>
        <v>1000</v>
      </c>
      <c r="J8" s="34"/>
      <c r="K8" s="15">
        <f t="shared" si="2"/>
        <v>2000</v>
      </c>
      <c r="L8" s="15">
        <f>RANK(K8,K3:K32,0)</f>
        <v>1</v>
      </c>
      <c r="M8" s="18" t="str">
        <f t="shared" si="3"/>
        <v>I</v>
      </c>
    </row>
    <row r="9" spans="1:13" ht="12.75">
      <c r="A9" s="15" t="s">
        <v>67</v>
      </c>
      <c r="B9" s="29">
        <v>55</v>
      </c>
      <c r="C9" s="29">
        <v>5</v>
      </c>
      <c r="D9" s="15">
        <f t="shared" si="0"/>
        <v>0.09090909090909091</v>
      </c>
      <c r="E9" s="34">
        <f>IF(B9&gt;0,ROUND(1000*(D9/D35),0),0)</f>
        <v>982</v>
      </c>
      <c r="F9" s="15">
        <v>55</v>
      </c>
      <c r="G9" s="15">
        <v>5</v>
      </c>
      <c r="H9" s="15">
        <f t="shared" si="1"/>
        <v>0.09090909090909091</v>
      </c>
      <c r="I9" s="34">
        <f>IF(F9&gt;0,ROUND(1000*(H9/H35),0),0)</f>
        <v>945</v>
      </c>
      <c r="J9" s="34"/>
      <c r="K9" s="15">
        <f t="shared" si="2"/>
        <v>1927</v>
      </c>
      <c r="L9" s="15">
        <f>RANK(K9,K3:K32,0)</f>
        <v>3</v>
      </c>
      <c r="M9" s="18" t="str">
        <f t="shared" si="3"/>
        <v>III</v>
      </c>
    </row>
    <row r="10" spans="1:13" ht="12.75">
      <c r="A10" s="15" t="s">
        <v>68</v>
      </c>
      <c r="B10" s="29">
        <v>0</v>
      </c>
      <c r="C10" s="29">
        <v>0</v>
      </c>
      <c r="D10" s="15">
        <f t="shared" si="0"/>
      </c>
      <c r="E10" s="34">
        <f>IF(B10&gt;0,ROUND(1000*(D10/D35),0),0)</f>
        <v>0</v>
      </c>
      <c r="F10" s="15">
        <v>104</v>
      </c>
      <c r="G10" s="15">
        <v>4</v>
      </c>
      <c r="H10" s="15">
        <f t="shared" si="1"/>
        <v>0.038461538461538464</v>
      </c>
      <c r="I10" s="34">
        <f>IF(F10&gt;0,ROUND(1000*(H10/H35),0),0)</f>
        <v>400</v>
      </c>
      <c r="J10" s="34"/>
      <c r="K10" s="15">
        <f t="shared" si="2"/>
        <v>400</v>
      </c>
      <c r="L10" s="15">
        <f>RANK(K10,K3:K32,0)</f>
        <v>9</v>
      </c>
      <c r="M10" s="18">
        <f t="shared" si="3"/>
        <v>9</v>
      </c>
    </row>
    <row r="11" spans="1:13" ht="12.75">
      <c r="A11" s="15" t="s">
        <v>69</v>
      </c>
      <c r="B11" s="29">
        <v>61</v>
      </c>
      <c r="C11" s="29">
        <v>5</v>
      </c>
      <c r="D11" s="15">
        <f t="shared" si="0"/>
        <v>0.08196721311475409</v>
      </c>
      <c r="E11" s="34">
        <f>IF(B11&gt;0,ROUND(1000*(D11/D35),0),0)</f>
        <v>885</v>
      </c>
      <c r="F11" s="15">
        <v>102</v>
      </c>
      <c r="G11" s="15">
        <v>3</v>
      </c>
      <c r="H11" s="15">
        <f t="shared" si="1"/>
        <v>0.029411764705882353</v>
      </c>
      <c r="I11" s="34">
        <f>IF(F11&gt;0,ROUND(1000*(H11/H35),0),0)</f>
        <v>306</v>
      </c>
      <c r="J11" s="34"/>
      <c r="K11" s="15">
        <f t="shared" si="2"/>
        <v>1191</v>
      </c>
      <c r="L11" s="15">
        <f>RANK(K11,K3:K32,0)</f>
        <v>6</v>
      </c>
      <c r="M11" s="18">
        <f t="shared" si="3"/>
        <v>6</v>
      </c>
    </row>
    <row r="12" spans="1:13" ht="12.75">
      <c r="A12" s="50" t="s">
        <v>70</v>
      </c>
      <c r="B12" s="29">
        <v>77</v>
      </c>
      <c r="C12" s="29">
        <v>5</v>
      </c>
      <c r="D12" s="15">
        <f t="shared" si="0"/>
        <v>0.06493506493506493</v>
      </c>
      <c r="E12" s="34">
        <f>IF(B12&gt;0,ROUND(1000*(D12/D35),0),0)</f>
        <v>701</v>
      </c>
      <c r="F12" s="15">
        <v>69</v>
      </c>
      <c r="G12" s="15">
        <v>5</v>
      </c>
      <c r="H12" s="15">
        <f t="shared" si="1"/>
        <v>0.07246376811594203</v>
      </c>
      <c r="I12" s="34">
        <f>IF(F12&gt;0,ROUND(1000*(H12/H35),0),0)</f>
        <v>754</v>
      </c>
      <c r="J12" s="34"/>
      <c r="K12" s="15">
        <f t="shared" si="2"/>
        <v>1455</v>
      </c>
      <c r="L12" s="15">
        <f>RANK(K12,K3:K32,0)</f>
        <v>5</v>
      </c>
      <c r="M12" s="18">
        <f t="shared" si="3"/>
        <v>5</v>
      </c>
    </row>
    <row r="13" spans="1:13" ht="12.75">
      <c r="A13" s="15" t="s">
        <v>71</v>
      </c>
      <c r="B13" s="29">
        <v>95</v>
      </c>
      <c r="C13" s="29">
        <v>4</v>
      </c>
      <c r="D13" s="15">
        <f t="shared" si="0"/>
        <v>0.042105263157894736</v>
      </c>
      <c r="E13" s="34">
        <f>IF(B13&gt;0,ROUND(1000*(D13/D35),0),0)</f>
        <v>455</v>
      </c>
      <c r="F13" s="15">
        <v>0</v>
      </c>
      <c r="G13" s="15">
        <v>0</v>
      </c>
      <c r="H13" s="15">
        <f t="shared" si="1"/>
      </c>
      <c r="I13" s="34">
        <f>IF(F13&gt;0,ROUND(1000*(H13/H35),0),0)</f>
        <v>0</v>
      </c>
      <c r="J13" s="34"/>
      <c r="K13" s="15">
        <f t="shared" si="2"/>
        <v>455</v>
      </c>
      <c r="L13" s="15">
        <f>RANK(K13,K3:K32,0)</f>
        <v>8</v>
      </c>
      <c r="M13" s="18">
        <f t="shared" si="3"/>
        <v>8</v>
      </c>
    </row>
    <row r="14" spans="1:13" ht="12.75">
      <c r="A14" s="15" t="s">
        <v>72</v>
      </c>
      <c r="B14" s="29">
        <v>0</v>
      </c>
      <c r="C14" s="29">
        <v>0</v>
      </c>
      <c r="D14" s="15">
        <f t="shared" si="0"/>
      </c>
      <c r="E14" s="34">
        <f>IF(B14&gt;0,ROUND(1000*(D14/D35),0),0)</f>
        <v>0</v>
      </c>
      <c r="F14" s="15">
        <v>0</v>
      </c>
      <c r="G14" s="15">
        <v>0</v>
      </c>
      <c r="H14" s="15">
        <f t="shared" si="1"/>
      </c>
      <c r="I14" s="34">
        <f>IF(F14&gt;0,ROUND(1000*(H14/H35),0),0)</f>
        <v>0</v>
      </c>
      <c r="J14" s="34"/>
      <c r="K14" s="15">
        <f t="shared" si="2"/>
        <v>0</v>
      </c>
      <c r="L14" s="15">
        <f>RANK(K14,K3:K32,0)</f>
        <v>10</v>
      </c>
      <c r="M14" s="18">
        <f t="shared" si="3"/>
        <v>10</v>
      </c>
    </row>
    <row r="15" spans="1:13" ht="12.75">
      <c r="A15" s="15">
        <f>Список!A15</f>
        <v>0</v>
      </c>
      <c r="B15" s="29"/>
      <c r="C15" s="29"/>
      <c r="D15" s="15">
        <f t="shared" si="0"/>
      </c>
      <c r="E15" s="34">
        <f>IF(B15&gt;0,ROUND(1000*(D15/D35),0),0)</f>
        <v>0</v>
      </c>
      <c r="F15" s="15"/>
      <c r="G15" s="15"/>
      <c r="H15" s="15">
        <f t="shared" si="1"/>
      </c>
      <c r="I15" s="34">
        <f>IF(F15&gt;0,ROUND(1000*(H15/H35),0),0)</f>
        <v>0</v>
      </c>
      <c r="J15" s="34"/>
      <c r="K15" s="15">
        <f t="shared" si="2"/>
        <v>0</v>
      </c>
      <c r="L15" s="15">
        <f aca="true" t="shared" si="4" ref="L15:L22">RANK(K15,K15:K44,0)</f>
        <v>1</v>
      </c>
      <c r="M15" s="18"/>
    </row>
    <row r="16" spans="1:13" ht="12.75">
      <c r="A16" s="15">
        <f>Список!A16</f>
        <v>0</v>
      </c>
      <c r="B16" s="29"/>
      <c r="C16" s="29"/>
      <c r="D16" s="15">
        <f t="shared" si="0"/>
      </c>
      <c r="E16" s="34">
        <f>IF(B16&gt;0,ROUND(1000*(D16/D35),0),0)</f>
        <v>0</v>
      </c>
      <c r="F16" s="15"/>
      <c r="G16" s="15"/>
      <c r="H16" s="15">
        <f t="shared" si="1"/>
      </c>
      <c r="I16" s="34">
        <f>IF(F16&gt;0,ROUND(1000*(H16/H35),0),0)</f>
        <v>0</v>
      </c>
      <c r="J16" s="34"/>
      <c r="K16" s="15">
        <f t="shared" si="2"/>
        <v>0</v>
      </c>
      <c r="L16" s="15">
        <f t="shared" si="4"/>
        <v>1</v>
      </c>
      <c r="M16" s="18"/>
    </row>
    <row r="17" spans="1:13" ht="12.75">
      <c r="A17" s="15">
        <f>Список!A17</f>
        <v>0</v>
      </c>
      <c r="B17" s="29"/>
      <c r="C17" s="29"/>
      <c r="D17" s="15">
        <f t="shared" si="0"/>
      </c>
      <c r="E17" s="34">
        <f>IF(B17&gt;0,ROUND(1000*(D17/D35),0),0)</f>
        <v>0</v>
      </c>
      <c r="F17" s="15"/>
      <c r="G17" s="15"/>
      <c r="H17" s="15"/>
      <c r="I17" s="34">
        <f>IF(F17&gt;0,ROUND(1000*(H17/H35),0),0)</f>
        <v>0</v>
      </c>
      <c r="J17" s="34"/>
      <c r="K17" s="15">
        <f t="shared" si="2"/>
        <v>0</v>
      </c>
      <c r="L17" s="15">
        <f t="shared" si="4"/>
        <v>1</v>
      </c>
      <c r="M17" s="18"/>
    </row>
    <row r="18" spans="1:13" ht="12.75">
      <c r="A18" s="15">
        <f>Список!A18</f>
        <v>0</v>
      </c>
      <c r="B18" s="29"/>
      <c r="C18" s="29"/>
      <c r="D18" s="15">
        <f t="shared" si="0"/>
      </c>
      <c r="E18" s="34">
        <f>IF(B18&gt;0,ROUND(1000*(D18/D35),0),0)</f>
        <v>0</v>
      </c>
      <c r="F18" s="15"/>
      <c r="G18" s="15"/>
      <c r="H18" s="15"/>
      <c r="I18" s="34">
        <f>IF(F18&gt;0,ROUND(1000*(H18/H35),0),0)</f>
        <v>0</v>
      </c>
      <c r="J18" s="34"/>
      <c r="K18" s="15">
        <f t="shared" si="2"/>
        <v>0</v>
      </c>
      <c r="L18" s="15">
        <f t="shared" si="4"/>
        <v>1</v>
      </c>
      <c r="M18" s="18"/>
    </row>
    <row r="19" spans="1:13" ht="12.75">
      <c r="A19" s="15">
        <f>Список!A19</f>
        <v>0</v>
      </c>
      <c r="B19" s="29"/>
      <c r="C19" s="29"/>
      <c r="D19" s="15">
        <f t="shared" si="0"/>
      </c>
      <c r="E19" s="34">
        <f>IF(B19&gt;0,ROUND(1000*(D19/D35),0),0)</f>
        <v>0</v>
      </c>
      <c r="F19" s="15"/>
      <c r="G19" s="15"/>
      <c r="H19" s="15"/>
      <c r="I19" s="34">
        <f>IF(F19&gt;0,ROUND(1000*(H19/H35),0),0)</f>
        <v>0</v>
      </c>
      <c r="J19" s="34"/>
      <c r="K19" s="15">
        <f t="shared" si="2"/>
        <v>0</v>
      </c>
      <c r="L19" s="15">
        <f t="shared" si="4"/>
        <v>1</v>
      </c>
      <c r="M19" s="18"/>
    </row>
    <row r="20" spans="1:13" ht="12.75">
      <c r="A20" s="15">
        <f>Список!A20</f>
        <v>0</v>
      </c>
      <c r="B20" s="29"/>
      <c r="C20" s="29"/>
      <c r="D20" s="15">
        <f t="shared" si="0"/>
      </c>
      <c r="E20" s="34">
        <f>IF(B20&gt;0,ROUND(1000*(D20/D35),0),0)</f>
        <v>0</v>
      </c>
      <c r="F20" s="15"/>
      <c r="G20" s="15"/>
      <c r="H20" s="15"/>
      <c r="I20" s="34">
        <f>IF(F20&gt;0,ROUND(1000*(H20/H35),0),0)</f>
        <v>0</v>
      </c>
      <c r="J20" s="34"/>
      <c r="K20" s="15">
        <f t="shared" si="2"/>
        <v>0</v>
      </c>
      <c r="L20" s="15">
        <f t="shared" si="4"/>
        <v>1</v>
      </c>
      <c r="M20" s="18"/>
    </row>
    <row r="21" spans="1:13" ht="12.75">
      <c r="A21" s="15">
        <f>Список!A21</f>
        <v>0</v>
      </c>
      <c r="B21" s="29"/>
      <c r="C21" s="29"/>
      <c r="D21" s="15">
        <f t="shared" si="0"/>
      </c>
      <c r="E21" s="34">
        <f>IF(B21&gt;0,ROUND(1000*(D21/D35),0),0)</f>
        <v>0</v>
      </c>
      <c r="F21" s="15"/>
      <c r="G21" s="15"/>
      <c r="H21" s="15"/>
      <c r="I21" s="34">
        <f>IF(F21&gt;0,ROUND(1000*(H21/H35),0),0)</f>
        <v>0</v>
      </c>
      <c r="J21" s="34"/>
      <c r="K21" s="15">
        <f t="shared" si="2"/>
        <v>0</v>
      </c>
      <c r="L21" s="15">
        <f t="shared" si="4"/>
        <v>1</v>
      </c>
      <c r="M21" s="18"/>
    </row>
    <row r="22" spans="1:13" ht="12.75">
      <c r="A22" s="15">
        <f>Список!A22</f>
        <v>0</v>
      </c>
      <c r="B22" s="29"/>
      <c r="C22" s="29"/>
      <c r="D22" s="15">
        <f t="shared" si="0"/>
      </c>
      <c r="E22" s="34">
        <f>IF(B22&gt;0,ROUND(1000*(D22/D35),0),0)</f>
        <v>0</v>
      </c>
      <c r="F22" s="15"/>
      <c r="G22" s="15"/>
      <c r="H22" s="15"/>
      <c r="I22" s="34">
        <f>IF(F22&gt;0,ROUND(1000*(H22/H35),0),0)</f>
        <v>0</v>
      </c>
      <c r="J22" s="34"/>
      <c r="K22" s="15">
        <f t="shared" si="2"/>
        <v>0</v>
      </c>
      <c r="L22" s="15">
        <f t="shared" si="4"/>
        <v>1</v>
      </c>
      <c r="M22" s="18"/>
    </row>
    <row r="23" ht="12.75">
      <c r="M23" s="5"/>
    </row>
    <row r="24" spans="2:13" ht="12.75">
      <c r="B24" t="s">
        <v>13</v>
      </c>
      <c r="C24" s="33" t="s">
        <v>84</v>
      </c>
      <c r="M24" s="5"/>
    </row>
    <row r="25" spans="2:13" ht="12.75">
      <c r="B25"/>
      <c r="M25" s="5"/>
    </row>
    <row r="26" spans="2:13" ht="12.75">
      <c r="B26"/>
      <c r="M26" s="5"/>
    </row>
    <row r="27" spans="2:13" ht="12.75">
      <c r="B27" t="s">
        <v>14</v>
      </c>
      <c r="M27" s="5"/>
    </row>
    <row r="28" spans="2:13" ht="12.75">
      <c r="B28" t="s">
        <v>85</v>
      </c>
      <c r="M28" s="5"/>
    </row>
    <row r="29" spans="2:13" ht="12.75">
      <c r="B29" t="s">
        <v>86</v>
      </c>
      <c r="M29" s="5"/>
    </row>
    <row r="30" spans="2:13" ht="12.75">
      <c r="B30"/>
      <c r="M30" s="5"/>
    </row>
    <row r="31" spans="2:13" ht="12.75">
      <c r="B31" t="s">
        <v>88</v>
      </c>
      <c r="M31" s="5"/>
    </row>
    <row r="32" spans="2:13" ht="12.75">
      <c r="B32" t="s">
        <v>87</v>
      </c>
      <c r="M32" s="5"/>
    </row>
    <row r="34" ht="12" customHeight="1"/>
    <row r="35" spans="4:8" ht="12" customHeight="1">
      <c r="D35">
        <f>MAX(D3:D32)</f>
        <v>0.09259259259259259</v>
      </c>
      <c r="H35">
        <f>MAX(H3:H32)</f>
        <v>0.09615384615384616</v>
      </c>
    </row>
  </sheetData>
  <sheetProtection/>
  <mergeCells count="1">
    <mergeCell ref="A1:F1"/>
  </mergeCells>
  <printOptions/>
  <pageMargins left="0.29" right="0.1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0.8515625" style="0" bestFit="1" customWidth="1"/>
    <col min="2" max="3" width="8.00390625" style="0" bestFit="1" customWidth="1"/>
    <col min="4" max="4" width="12.421875" style="0" customWidth="1"/>
    <col min="5" max="5" width="14.140625" style="0" customWidth="1"/>
    <col min="6" max="6" width="15.7109375" style="0" customWidth="1"/>
    <col min="7" max="7" width="5.140625" style="0" bestFit="1" customWidth="1"/>
    <col min="8" max="8" width="6.57421875" style="0" customWidth="1"/>
    <col min="9" max="9" width="10.8515625" style="0" bestFit="1" customWidth="1"/>
    <col min="10" max="10" width="7.7109375" style="0" hidden="1" customWidth="1"/>
    <col min="11" max="11" width="11.57421875" style="0" customWidth="1"/>
    <col min="12" max="12" width="8.421875" style="6" bestFit="1" customWidth="1"/>
    <col min="13" max="13" width="9.28125" style="4" customWidth="1"/>
    <col min="14" max="14" width="5.7109375" style="0" bestFit="1" customWidth="1"/>
    <col min="15" max="15" width="7.140625" style="0" hidden="1" customWidth="1"/>
    <col min="16" max="16" width="6.28125" style="0" hidden="1" customWidth="1"/>
    <col min="17" max="17" width="7.140625" style="0" hidden="1" customWidth="1"/>
  </cols>
  <sheetData>
    <row r="1" spans="1:6" ht="21.75" customHeight="1">
      <c r="A1" s="84" t="s">
        <v>98</v>
      </c>
      <c r="B1" s="84"/>
      <c r="C1" s="84"/>
      <c r="D1" s="84"/>
      <c r="E1" s="84"/>
      <c r="F1" s="84"/>
    </row>
    <row r="2" spans="1:18" ht="40.5" customHeight="1">
      <c r="A2" s="43" t="s">
        <v>12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96</v>
      </c>
      <c r="G2" s="79" t="s">
        <v>89</v>
      </c>
      <c r="H2" s="79" t="s">
        <v>90</v>
      </c>
      <c r="I2" s="79" t="s">
        <v>92</v>
      </c>
      <c r="K2" s="79" t="s">
        <v>93</v>
      </c>
      <c r="L2" s="79" t="s">
        <v>94</v>
      </c>
      <c r="M2" s="44" t="s">
        <v>95</v>
      </c>
      <c r="N2" s="44" t="s">
        <v>0</v>
      </c>
      <c r="O2" s="44"/>
      <c r="P2" s="44" t="s">
        <v>0</v>
      </c>
      <c r="Q2" s="44"/>
      <c r="R2" s="45" t="s">
        <v>3</v>
      </c>
    </row>
    <row r="3" spans="1:18" ht="12.75">
      <c r="A3" s="15" t="s">
        <v>62</v>
      </c>
      <c r="B3" s="38">
        <v>0.001388888888888889</v>
      </c>
      <c r="C3" s="38">
        <v>0.07116898148148149</v>
      </c>
      <c r="D3" s="38">
        <v>0.052083333333333336</v>
      </c>
      <c r="E3" s="38">
        <v>0.05785879629629629</v>
      </c>
      <c r="F3" s="41">
        <f>E3-B3</f>
        <v>0.0564699074074074</v>
      </c>
      <c r="G3" s="80">
        <v>5</v>
      </c>
      <c r="H3" s="80">
        <v>8</v>
      </c>
      <c r="I3" s="35">
        <f>E18*500*(1-ABS((F3-F35)/F35))</f>
        <v>750</v>
      </c>
      <c r="J3" s="15"/>
      <c r="K3" s="35">
        <f>ABS(D3-F3)*24*60*60/4</f>
        <v>94.74999999999977</v>
      </c>
      <c r="L3" s="81">
        <f>E18*250*(G3+H3)/G18</f>
        <v>325</v>
      </c>
      <c r="M3" s="35">
        <f>E18*250*ABS(F35/F3)</f>
        <v>375</v>
      </c>
      <c r="N3" s="35">
        <f aca="true" t="shared" si="0" ref="N3:N14">MAX(0,I3-K3)+L3+M3</f>
        <v>1355.2500000000002</v>
      </c>
      <c r="O3" s="35"/>
      <c r="P3" s="35">
        <f>N3</f>
        <v>1355.2500000000002</v>
      </c>
      <c r="Q3" s="20">
        <f>RANK(P3,P3:P14)</f>
        <v>1</v>
      </c>
      <c r="R3" s="18" t="str">
        <f>IF(Q3&lt;4,ROMAN(Q3),Q3)</f>
        <v>I</v>
      </c>
    </row>
    <row r="4" spans="1:18" ht="12.75">
      <c r="A4" s="15" t="s">
        <v>63</v>
      </c>
      <c r="B4" s="38">
        <v>0.009722222222222222</v>
      </c>
      <c r="C4" s="38">
        <v>0.10125</v>
      </c>
      <c r="D4" s="38">
        <v>0.0798611111111111</v>
      </c>
      <c r="E4" s="38">
        <v>0.0897800925925926</v>
      </c>
      <c r="F4" s="41">
        <f aca="true" t="shared" si="1" ref="F4:F12">E4-B4</f>
        <v>0.08005787037037038</v>
      </c>
      <c r="G4" s="80">
        <v>5</v>
      </c>
      <c r="H4" s="35">
        <v>8</v>
      </c>
      <c r="I4" s="35">
        <f>E18*500*(1-ABS((F4-F35)/F35))</f>
        <v>436.7185898749741</v>
      </c>
      <c r="J4" s="15"/>
      <c r="K4" s="35">
        <f>ABS(D4-F4)*24*60*60/4</f>
        <v>4.250000000000265</v>
      </c>
      <c r="L4" s="81">
        <f>E18*250*(G4+H4)/G18</f>
        <v>325</v>
      </c>
      <c r="M4" s="35">
        <f>E19*250*ABS(F36/F4)</f>
        <v>264.5113488506577</v>
      </c>
      <c r="N4" s="35">
        <f t="shared" si="0"/>
        <v>1021.9799387256314</v>
      </c>
      <c r="O4" s="35"/>
      <c r="P4" s="35">
        <f aca="true" t="shared" si="2" ref="P4:P14">N4</f>
        <v>1021.9799387256314</v>
      </c>
      <c r="Q4" s="20">
        <f>RANK(P4,P3:P14)</f>
        <v>9</v>
      </c>
      <c r="R4" s="18">
        <f aca="true" t="shared" si="3" ref="R4:R14">IF(Q4&lt;4,ROMAN(Q4),Q4)</f>
        <v>9</v>
      </c>
    </row>
    <row r="5" spans="1:18" ht="12.75">
      <c r="A5" s="15" t="s">
        <v>64</v>
      </c>
      <c r="B5" s="38">
        <v>0.004166666666666667</v>
      </c>
      <c r="C5" s="38">
        <v>0.07769675925925926</v>
      </c>
      <c r="D5" s="38">
        <v>0.052083333333333336</v>
      </c>
      <c r="E5" s="38">
        <v>0.0658912037037037</v>
      </c>
      <c r="F5" s="41">
        <f t="shared" si="1"/>
        <v>0.061724537037037036</v>
      </c>
      <c r="G5" s="80">
        <v>4</v>
      </c>
      <c r="H5" s="35">
        <v>7</v>
      </c>
      <c r="I5" s="35">
        <f>E18*500*(1-ABS((F5-F35)/F35))</f>
        <v>680.2111088337773</v>
      </c>
      <c r="J5" s="15"/>
      <c r="K5" s="35">
        <f>ABS(D5-F5)*24*60*60/4</f>
        <v>208.24999999999994</v>
      </c>
      <c r="L5" s="81">
        <f>E18*250*(G5+H5)/G18</f>
        <v>275</v>
      </c>
      <c r="M5" s="35">
        <f>E18*250*ABS(F35/F5)</f>
        <v>343.07612975810986</v>
      </c>
      <c r="N5" s="35">
        <f t="shared" si="0"/>
        <v>1090.0372385918872</v>
      </c>
      <c r="O5" s="35"/>
      <c r="P5" s="35">
        <f t="shared" si="2"/>
        <v>1090.0372385918872</v>
      </c>
      <c r="Q5" s="20">
        <f>RANK(P5,P3:P14)</f>
        <v>6</v>
      </c>
      <c r="R5" s="18">
        <f t="shared" si="3"/>
        <v>6</v>
      </c>
    </row>
    <row r="6" spans="1:18" ht="12.75">
      <c r="A6" s="15" t="s">
        <v>65</v>
      </c>
      <c r="B6" s="38">
        <v>0.008333333333333333</v>
      </c>
      <c r="C6" s="38">
        <v>0.0903125</v>
      </c>
      <c r="D6" s="38">
        <v>0.06597222222222222</v>
      </c>
      <c r="E6" s="38">
        <v>0.0757638888888889</v>
      </c>
      <c r="F6" s="41">
        <f t="shared" si="1"/>
        <v>0.06743055555555556</v>
      </c>
      <c r="G6" s="35">
        <v>5</v>
      </c>
      <c r="H6" s="35">
        <v>9</v>
      </c>
      <c r="I6" s="35">
        <f>E18*500*(1-ABS((F6-F35)/F35))</f>
        <v>604.4271367083417</v>
      </c>
      <c r="J6" s="15"/>
      <c r="K6" s="35">
        <f>ABS(D6-F6)*24*60*60/4</f>
        <v>31.500000000000128</v>
      </c>
      <c r="L6" s="81">
        <f>E18*250*(G6+H6)/G18</f>
        <v>350</v>
      </c>
      <c r="M6" s="35">
        <f>E21*250*ABS(F38/F6)</f>
        <v>314.04479917610706</v>
      </c>
      <c r="N6" s="35">
        <f t="shared" si="0"/>
        <v>1236.9719358844486</v>
      </c>
      <c r="O6" s="35"/>
      <c r="P6" s="35">
        <f t="shared" si="2"/>
        <v>1236.9719358844486</v>
      </c>
      <c r="Q6" s="20">
        <f>RANK(P6,P3:P14)</f>
        <v>2</v>
      </c>
      <c r="R6" s="18" t="str">
        <f t="shared" si="3"/>
        <v>II</v>
      </c>
    </row>
    <row r="7" spans="1:18" ht="12.75">
      <c r="A7" s="15" t="s">
        <v>66</v>
      </c>
      <c r="B7" s="38">
        <v>0.013888888888888888</v>
      </c>
      <c r="C7" s="38">
        <v>0.13587962962962963</v>
      </c>
      <c r="D7" s="38">
        <v>0.06597222222222222</v>
      </c>
      <c r="E7" s="38" t="s">
        <v>33</v>
      </c>
      <c r="F7" s="41" t="s">
        <v>33</v>
      </c>
      <c r="G7" s="35">
        <v>4</v>
      </c>
      <c r="H7" s="35">
        <v>0</v>
      </c>
      <c r="I7" s="35">
        <v>0</v>
      </c>
      <c r="J7" s="15"/>
      <c r="K7" s="35">
        <v>0</v>
      </c>
      <c r="L7" s="81">
        <f>E18*250*(G7+H7)/G18</f>
        <v>100</v>
      </c>
      <c r="M7" s="35">
        <v>0</v>
      </c>
      <c r="N7" s="35">
        <f t="shared" si="0"/>
        <v>100</v>
      </c>
      <c r="O7" s="35"/>
      <c r="P7" s="35">
        <f t="shared" si="2"/>
        <v>100</v>
      </c>
      <c r="Q7" s="20">
        <f>RANK(P7,P3:P14)</f>
        <v>10</v>
      </c>
      <c r="R7" s="18">
        <f t="shared" si="3"/>
        <v>10</v>
      </c>
    </row>
    <row r="8" spans="1:18" ht="12.75">
      <c r="A8" s="15" t="s">
        <v>91</v>
      </c>
      <c r="B8" s="38">
        <v>0.005555555555555556</v>
      </c>
      <c r="C8" s="38">
        <v>0.09210648148148148</v>
      </c>
      <c r="D8" s="38">
        <v>0.0763888888888889</v>
      </c>
      <c r="E8" s="38">
        <v>0.0819212962962963</v>
      </c>
      <c r="F8" s="41">
        <f t="shared" si="1"/>
        <v>0.07636574074074075</v>
      </c>
      <c r="G8" s="35">
        <v>5</v>
      </c>
      <c r="H8" s="35">
        <v>8</v>
      </c>
      <c r="I8" s="35">
        <f>E18*500*(1-ABS((F8-F35)/F35))</f>
        <v>485.75527772084416</v>
      </c>
      <c r="J8" s="15"/>
      <c r="K8" s="35">
        <f>ABS(D8-F8)*24*60*60/4</f>
        <v>0.49999999999997824</v>
      </c>
      <c r="L8" s="81">
        <f>E18*250*(G8+H8)/G18</f>
        <v>325</v>
      </c>
      <c r="M8" s="35">
        <f>E23*250*ABS(F40/F8)</f>
        <v>277.2999393755683</v>
      </c>
      <c r="N8" s="35">
        <f t="shared" si="0"/>
        <v>1087.5552170964124</v>
      </c>
      <c r="O8" s="35"/>
      <c r="P8" s="35">
        <f t="shared" si="2"/>
        <v>1087.5552170964124</v>
      </c>
      <c r="Q8" s="20">
        <f>RANK(P8,P3:P14)</f>
        <v>8</v>
      </c>
      <c r="R8" s="18">
        <f t="shared" si="3"/>
        <v>8</v>
      </c>
    </row>
    <row r="9" spans="1:18" ht="12.75">
      <c r="A9" s="15" t="s">
        <v>67</v>
      </c>
      <c r="B9" s="38">
        <v>0.002777777777777778</v>
      </c>
      <c r="C9" s="38">
        <v>0.08640046296296296</v>
      </c>
      <c r="D9" s="38">
        <v>0.07291666666666667</v>
      </c>
      <c r="E9" s="38">
        <v>0.07527777777777778</v>
      </c>
      <c r="F9" s="41">
        <f t="shared" si="1"/>
        <v>0.0725</v>
      </c>
      <c r="G9" s="35">
        <v>5</v>
      </c>
      <c r="H9" s="35">
        <v>10</v>
      </c>
      <c r="I9" s="35">
        <f>E18*500*(1-ABS((F9-F35)/F35))</f>
        <v>537.0977659356424</v>
      </c>
      <c r="J9" s="15"/>
      <c r="K9" s="35">
        <f>ABS(D9-F9)*24*60*60/4</f>
        <v>9.000000000000208</v>
      </c>
      <c r="L9" s="81">
        <f>E18*250*(G9+H9)/G18</f>
        <v>375</v>
      </c>
      <c r="M9" s="35">
        <f>E24*250*ABS(F41/F9)</f>
        <v>292.0857279693486</v>
      </c>
      <c r="N9" s="35">
        <f t="shared" si="0"/>
        <v>1195.1834939049909</v>
      </c>
      <c r="O9" s="35"/>
      <c r="P9" s="35">
        <f t="shared" si="2"/>
        <v>1195.1834939049909</v>
      </c>
      <c r="Q9" s="20">
        <f>RANK(P9,P3:P14)</f>
        <v>3</v>
      </c>
      <c r="R9" s="18" t="str">
        <f t="shared" si="3"/>
        <v>III</v>
      </c>
    </row>
    <row r="10" spans="1:18" ht="12.75">
      <c r="A10" s="15" t="s">
        <v>68</v>
      </c>
      <c r="B10" s="38">
        <v>0.011111111111111112</v>
      </c>
      <c r="C10" s="38">
        <v>0.09134259259259259</v>
      </c>
      <c r="D10" s="38">
        <v>0.06944444444444443</v>
      </c>
      <c r="E10" s="38">
        <v>0.07559027777777778</v>
      </c>
      <c r="F10" s="41">
        <f t="shared" si="1"/>
        <v>0.06447916666666667</v>
      </c>
      <c r="G10" s="35">
        <v>4</v>
      </c>
      <c r="H10" s="35">
        <v>5</v>
      </c>
      <c r="I10" s="35">
        <f>E18*500*(1-ABS((F10-F35)/F35))</f>
        <v>643.6257429801186</v>
      </c>
      <c r="J10" s="15"/>
      <c r="K10" s="35">
        <f>ABS(D10-F10)*24*60*60/4</f>
        <v>107.24999999999969</v>
      </c>
      <c r="L10" s="81">
        <f>E18*250*(G10+H10)/G18</f>
        <v>225</v>
      </c>
      <c r="M10" s="35">
        <f>E25*250*ABS(F42/F10)</f>
        <v>328.4194938072159</v>
      </c>
      <c r="N10" s="35">
        <f t="shared" si="0"/>
        <v>1089.795236787335</v>
      </c>
      <c r="O10" s="35"/>
      <c r="P10" s="35">
        <f t="shared" si="2"/>
        <v>1089.795236787335</v>
      </c>
      <c r="Q10" s="20">
        <f>RANK(P10,P3:P14)</f>
        <v>7</v>
      </c>
      <c r="R10" s="18">
        <f t="shared" si="3"/>
        <v>7</v>
      </c>
    </row>
    <row r="11" spans="1:18" ht="12.75">
      <c r="A11" s="15" t="s">
        <v>69</v>
      </c>
      <c r="B11" s="38">
        <v>0.0125</v>
      </c>
      <c r="C11" s="38">
        <v>0.09136574074074073</v>
      </c>
      <c r="D11" s="38">
        <v>0.06944444444444443</v>
      </c>
      <c r="E11" s="38">
        <v>0.07991898148148148</v>
      </c>
      <c r="F11" s="41">
        <f t="shared" si="1"/>
        <v>0.06741898148148148</v>
      </c>
      <c r="G11" s="35">
        <v>4</v>
      </c>
      <c r="H11" s="35">
        <v>7</v>
      </c>
      <c r="I11" s="35">
        <f>E18*500*(1-ABS((F11-F35)/F35))</f>
        <v>604.5808567329369</v>
      </c>
      <c r="J11" s="15"/>
      <c r="K11" s="35">
        <f>ABS(D11-F11)*24*60*60/4</f>
        <v>43.749999999999744</v>
      </c>
      <c r="L11" s="81">
        <f>E18*250*(G11+H11)/G18</f>
        <v>275</v>
      </c>
      <c r="M11" s="35">
        <f>E26*250*ABS(F43/F11)</f>
        <v>314.0987124463519</v>
      </c>
      <c r="N11" s="35">
        <f t="shared" si="0"/>
        <v>1149.929569179289</v>
      </c>
      <c r="O11" s="35"/>
      <c r="P11" s="35">
        <f t="shared" si="2"/>
        <v>1149.929569179289</v>
      </c>
      <c r="Q11" s="20">
        <f>RANK(P11,P3:P14)</f>
        <v>4</v>
      </c>
      <c r="R11" s="18">
        <f t="shared" si="3"/>
        <v>4</v>
      </c>
    </row>
    <row r="12" spans="1:18" ht="12.75">
      <c r="A12" s="50" t="s">
        <v>70</v>
      </c>
      <c r="B12" s="38">
        <v>0.006944444444444444</v>
      </c>
      <c r="C12" s="38">
        <v>0.08616898148148149</v>
      </c>
      <c r="D12" s="38">
        <v>0.06944444444444443</v>
      </c>
      <c r="E12" s="38">
        <v>0.0711574074074074</v>
      </c>
      <c r="F12" s="41">
        <f t="shared" si="1"/>
        <v>0.06421296296296296</v>
      </c>
      <c r="G12" s="35">
        <v>4</v>
      </c>
      <c r="H12" s="35">
        <v>7</v>
      </c>
      <c r="I12" s="35">
        <f>E18*500*(1-ABS((F12-F35)/F35))</f>
        <v>647.1613035458086</v>
      </c>
      <c r="J12" s="15"/>
      <c r="K12" s="35">
        <f>ABS(D12-F12)*24*60*60/4</f>
        <v>112.99999999999987</v>
      </c>
      <c r="L12" s="81">
        <f>E18*250*(G12+H12)/G18</f>
        <v>275</v>
      </c>
      <c r="M12" s="35">
        <f>E27*250*ABS(F44/F12)</f>
        <v>329.78100216294155</v>
      </c>
      <c r="N12" s="35">
        <f t="shared" si="0"/>
        <v>1138.9423057087502</v>
      </c>
      <c r="O12" s="35"/>
      <c r="P12" s="35">
        <f t="shared" si="2"/>
        <v>1138.9423057087502</v>
      </c>
      <c r="Q12" s="20">
        <f>RANK(P12,P3:P14)</f>
        <v>5</v>
      </c>
      <c r="R12" s="18">
        <f t="shared" si="3"/>
        <v>5</v>
      </c>
    </row>
    <row r="13" spans="1:18" ht="12.75">
      <c r="A13" s="15" t="s">
        <v>71</v>
      </c>
      <c r="B13" s="38" t="s">
        <v>33</v>
      </c>
      <c r="C13" s="38" t="s">
        <v>33</v>
      </c>
      <c r="D13" s="38" t="s">
        <v>33</v>
      </c>
      <c r="E13" s="38" t="str">
        <f>C13</f>
        <v>-</v>
      </c>
      <c r="F13" s="41" t="s">
        <v>33</v>
      </c>
      <c r="G13" s="35" t="s">
        <v>33</v>
      </c>
      <c r="H13" s="35"/>
      <c r="I13" s="35">
        <v>0</v>
      </c>
      <c r="J13" s="15"/>
      <c r="K13" s="35">
        <v>0</v>
      </c>
      <c r="L13" s="81">
        <v>0</v>
      </c>
      <c r="M13" s="24">
        <v>0</v>
      </c>
      <c r="N13" s="35">
        <f t="shared" si="0"/>
        <v>0</v>
      </c>
      <c r="O13" s="35"/>
      <c r="P13" s="35">
        <f t="shared" si="2"/>
        <v>0</v>
      </c>
      <c r="Q13" s="20">
        <f>RANK(P13,P3:P14)</f>
        <v>12</v>
      </c>
      <c r="R13" s="18">
        <f t="shared" si="3"/>
        <v>12</v>
      </c>
    </row>
    <row r="14" spans="1:18" ht="12.75">
      <c r="A14" s="15" t="s">
        <v>72</v>
      </c>
      <c r="B14" s="38">
        <v>0</v>
      </c>
      <c r="C14" s="38">
        <v>0</v>
      </c>
      <c r="D14" s="38">
        <v>0.05902777777777778</v>
      </c>
      <c r="E14" s="38" t="s">
        <v>33</v>
      </c>
      <c r="F14" s="41" t="s">
        <v>33</v>
      </c>
      <c r="G14" s="35">
        <v>2</v>
      </c>
      <c r="H14" s="35">
        <v>1</v>
      </c>
      <c r="I14" s="35">
        <v>0</v>
      </c>
      <c r="J14" s="15"/>
      <c r="K14" s="35">
        <v>0</v>
      </c>
      <c r="L14" s="81">
        <f>E18*250*(G14+H14)/G18</f>
        <v>75</v>
      </c>
      <c r="M14" s="24">
        <v>0</v>
      </c>
      <c r="N14" s="35">
        <f t="shared" si="0"/>
        <v>75</v>
      </c>
      <c r="O14" s="35"/>
      <c r="P14" s="35">
        <f t="shared" si="2"/>
        <v>75</v>
      </c>
      <c r="Q14" s="20">
        <f>RANK(P14,P3:P14)</f>
        <v>11</v>
      </c>
      <c r="R14" s="18">
        <f t="shared" si="3"/>
        <v>11</v>
      </c>
    </row>
    <row r="15" spans="1:18" ht="12.75">
      <c r="A15" s="50"/>
      <c r="B15" s="38"/>
      <c r="C15" s="38"/>
      <c r="D15" s="38"/>
      <c r="E15" s="38"/>
      <c r="F15" s="41"/>
      <c r="G15" s="35"/>
      <c r="H15" s="35"/>
      <c r="I15" s="24"/>
      <c r="J15" s="15"/>
      <c r="K15" s="35"/>
      <c r="L15" s="17"/>
      <c r="M15" s="15"/>
      <c r="N15" s="35"/>
      <c r="O15" s="35"/>
      <c r="P15" s="15"/>
      <c r="Q15" s="35"/>
      <c r="R15" s="48"/>
    </row>
    <row r="16" spans="1:18" ht="12.75">
      <c r="A16" s="50"/>
      <c r="B16" s="38"/>
      <c r="C16" s="38"/>
      <c r="D16" s="38"/>
      <c r="E16" s="38"/>
      <c r="F16" s="15"/>
      <c r="G16" s="35"/>
      <c r="H16" s="35"/>
      <c r="I16" s="24"/>
      <c r="J16" s="15"/>
      <c r="K16" s="15"/>
      <c r="L16" s="17"/>
      <c r="M16" s="15"/>
      <c r="N16" s="35"/>
      <c r="O16" s="35"/>
      <c r="P16" s="15"/>
      <c r="Q16" s="35"/>
      <c r="R16" s="47"/>
    </row>
    <row r="17" spans="1:13" ht="10.5" customHeight="1">
      <c r="A17" s="64"/>
      <c r="B17" s="65"/>
      <c r="C17" s="65"/>
      <c r="D17" s="65"/>
      <c r="E17" s="65"/>
      <c r="F17" s="54"/>
      <c r="G17" s="54"/>
      <c r="H17" s="60"/>
      <c r="I17" s="60"/>
      <c r="J17" s="54"/>
      <c r="K17" s="60"/>
      <c r="L17" s="66"/>
      <c r="M17" s="46"/>
    </row>
    <row r="18" spans="1:13" ht="2.25" customHeight="1" hidden="1">
      <c r="A18" s="64"/>
      <c r="B18" s="67"/>
      <c r="C18" s="67"/>
      <c r="D18" s="60"/>
      <c r="E18" s="77">
        <v>1.5</v>
      </c>
      <c r="F18" s="54"/>
      <c r="G18" s="60">
        <f>MAX(G3:G14)+MAX(H3:H14)</f>
        <v>15</v>
      </c>
      <c r="H18" s="54"/>
      <c r="I18" s="54"/>
      <c r="J18" s="54"/>
      <c r="K18" s="54"/>
      <c r="L18" s="56"/>
      <c r="M18" s="46"/>
    </row>
    <row r="19" spans="1:13" ht="12.75" hidden="1">
      <c r="A19" s="64"/>
      <c r="B19" s="67"/>
      <c r="C19" s="67"/>
      <c r="D19" s="60"/>
      <c r="E19" s="77">
        <v>1.5</v>
      </c>
      <c r="F19" s="54"/>
      <c r="G19" s="54"/>
      <c r="H19" s="54"/>
      <c r="I19" s="54"/>
      <c r="J19" s="54"/>
      <c r="K19" s="54"/>
      <c r="L19" s="56"/>
      <c r="M19" s="46"/>
    </row>
    <row r="20" spans="1:13" ht="12.75" hidden="1">
      <c r="A20" s="64"/>
      <c r="B20" s="67"/>
      <c r="C20" s="67"/>
      <c r="D20" s="60"/>
      <c r="E20" s="77">
        <v>1.5</v>
      </c>
      <c r="F20" s="54"/>
      <c r="G20" s="54"/>
      <c r="H20" s="54"/>
      <c r="I20" s="54"/>
      <c r="J20" s="54"/>
      <c r="K20" s="54"/>
      <c r="L20" s="56"/>
      <c r="M20" s="46"/>
    </row>
    <row r="21" spans="1:13" ht="12.75" hidden="1">
      <c r="A21" s="64"/>
      <c r="B21" s="67"/>
      <c r="C21" s="67"/>
      <c r="D21" s="60"/>
      <c r="E21" s="77">
        <v>1.5</v>
      </c>
      <c r="F21" s="54"/>
      <c r="G21" s="54"/>
      <c r="H21" s="54"/>
      <c r="I21" s="54"/>
      <c r="J21" s="54"/>
      <c r="K21" s="54"/>
      <c r="L21" s="56"/>
      <c r="M21" s="46"/>
    </row>
    <row r="22" spans="1:13" ht="12.75" hidden="1">
      <c r="A22" s="64"/>
      <c r="B22" s="67"/>
      <c r="C22" s="67"/>
      <c r="D22" s="60"/>
      <c r="E22" s="77">
        <v>1.5</v>
      </c>
      <c r="F22" s="54"/>
      <c r="G22" s="54"/>
      <c r="H22" s="54"/>
      <c r="I22" s="54"/>
      <c r="J22" s="54"/>
      <c r="K22" s="54"/>
      <c r="L22" s="56"/>
      <c r="M22" s="46"/>
    </row>
    <row r="23" spans="5:13" ht="12.75" hidden="1">
      <c r="E23" s="77">
        <v>1.5</v>
      </c>
      <c r="M23" s="5"/>
    </row>
    <row r="24" spans="2:13" ht="12.75" hidden="1">
      <c r="B24" s="9"/>
      <c r="E24" s="77">
        <v>1.5</v>
      </c>
      <c r="K24" s="7"/>
      <c r="M24" s="5"/>
    </row>
    <row r="25" spans="2:13" ht="12.75" hidden="1">
      <c r="B25" s="9"/>
      <c r="E25" s="77">
        <v>1.5</v>
      </c>
      <c r="K25" s="7"/>
      <c r="M25" s="5"/>
    </row>
    <row r="26" spans="2:13" ht="12.75" hidden="1">
      <c r="B26" s="9"/>
      <c r="E26" s="77">
        <v>1.5</v>
      </c>
      <c r="K26" s="7"/>
      <c r="M26" s="5"/>
    </row>
    <row r="27" spans="2:13" ht="12.75" hidden="1">
      <c r="B27" s="9"/>
      <c r="E27" s="77">
        <v>1.5</v>
      </c>
      <c r="K27" s="7"/>
      <c r="M27" s="5"/>
    </row>
    <row r="28" spans="2:13" ht="12.75" hidden="1">
      <c r="B28" s="9"/>
      <c r="E28" s="77">
        <v>1.5</v>
      </c>
      <c r="K28" s="7"/>
      <c r="M28" s="5"/>
    </row>
    <row r="29" spans="2:13" ht="12.75" hidden="1">
      <c r="B29" s="9"/>
      <c r="E29" s="77">
        <v>1.5</v>
      </c>
      <c r="K29" s="7"/>
      <c r="M29" s="5"/>
    </row>
    <row r="30" spans="5:13" ht="12.75" hidden="1">
      <c r="E30" s="77">
        <v>1.5</v>
      </c>
      <c r="M30" s="5"/>
    </row>
    <row r="31" spans="5:13" ht="12.75" hidden="1">
      <c r="E31" s="77">
        <v>1.5</v>
      </c>
      <c r="M31" s="5"/>
    </row>
    <row r="32" spans="5:13" ht="12.75" hidden="1">
      <c r="E32" s="77">
        <v>1.5</v>
      </c>
      <c r="F32" s="42">
        <f>MIN(F3:F22)</f>
        <v>0.0564699074074074</v>
      </c>
      <c r="M32" s="5"/>
    </row>
    <row r="33" ht="12.75" hidden="1"/>
    <row r="34" ht="12.75" hidden="1"/>
    <row r="35" spans="5:6" ht="17.25" customHeight="1" hidden="1">
      <c r="E35" s="78">
        <f>MIN(E3:E14)</f>
        <v>0.05785879629629629</v>
      </c>
      <c r="F35" s="78">
        <f>MIN(F3:F14)</f>
        <v>0.0564699074074074</v>
      </c>
    </row>
    <row r="36" spans="5:6" ht="12.75" hidden="1">
      <c r="E36" s="78">
        <v>0.05785879629629629</v>
      </c>
      <c r="F36" s="78">
        <v>0.0564699074074074</v>
      </c>
    </row>
    <row r="37" spans="5:6" ht="12.75" hidden="1">
      <c r="E37" s="78">
        <v>0.05785879629629629</v>
      </c>
      <c r="F37" s="78">
        <v>0.0564699074074074</v>
      </c>
    </row>
    <row r="38" spans="5:6" ht="12.75" hidden="1">
      <c r="E38" s="78">
        <v>0.05785879629629629</v>
      </c>
      <c r="F38" s="78">
        <v>0.0564699074074074</v>
      </c>
    </row>
    <row r="39" spans="5:6" ht="7.5" customHeight="1" hidden="1">
      <c r="E39" s="78">
        <v>0.05785879629629629</v>
      </c>
      <c r="F39" s="78">
        <v>0.0564699074074074</v>
      </c>
    </row>
    <row r="40" spans="5:6" ht="12.75" hidden="1">
      <c r="E40" s="78">
        <v>0.05785879629629629</v>
      </c>
      <c r="F40" s="78">
        <v>0.0564699074074074</v>
      </c>
    </row>
    <row r="41" spans="5:6" ht="12.75" hidden="1">
      <c r="E41" s="78">
        <v>0.05785879629629629</v>
      </c>
      <c r="F41" s="78">
        <v>0.0564699074074074</v>
      </c>
    </row>
    <row r="42" spans="5:6" ht="12.75" hidden="1">
      <c r="E42" s="78">
        <v>0.05785879629629629</v>
      </c>
      <c r="F42" s="78">
        <v>0.0564699074074074</v>
      </c>
    </row>
    <row r="43" spans="5:6" ht="12.75" hidden="1">
      <c r="E43" s="78">
        <v>0.05785879629629629</v>
      </c>
      <c r="F43" s="78">
        <v>0.0564699074074074</v>
      </c>
    </row>
    <row r="44" spans="5:6" ht="12.75" hidden="1">
      <c r="E44" s="78">
        <v>0.05785879629629629</v>
      </c>
      <c r="F44" s="78">
        <v>0.0564699074074074</v>
      </c>
    </row>
    <row r="45" spans="5:6" ht="12.75" hidden="1">
      <c r="E45" s="78">
        <v>0.05785879629629629</v>
      </c>
      <c r="F45" s="78">
        <v>0.0564699074074074</v>
      </c>
    </row>
    <row r="46" spans="5:6" ht="12.75" hidden="1">
      <c r="E46" s="78">
        <v>0.05785879629629629</v>
      </c>
      <c r="F46" s="78">
        <v>0.0564699074074074</v>
      </c>
    </row>
    <row r="47" spans="5:6" ht="12.75" hidden="1">
      <c r="E47" s="78">
        <v>0.05785879629629629</v>
      </c>
      <c r="F47" s="78">
        <v>0.0564699074074074</v>
      </c>
    </row>
    <row r="48" spans="5:6" ht="12.75" hidden="1">
      <c r="E48" s="78">
        <v>0.05785879629629629</v>
      </c>
      <c r="F48" s="78">
        <v>0.0564699074074074</v>
      </c>
    </row>
    <row r="49" spans="5:6" ht="12.75" hidden="1">
      <c r="E49" s="78">
        <v>0.05785879629629629</v>
      </c>
      <c r="F49" s="78">
        <v>0.0564699074074074</v>
      </c>
    </row>
  </sheetData>
  <sheetProtection/>
  <mergeCells count="1">
    <mergeCell ref="A1:F1"/>
  </mergeCells>
  <printOptions/>
  <pageMargins left="0.41" right="0.44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2" sqref="A2"/>
    </sheetView>
  </sheetViews>
  <sheetFormatPr defaultColWidth="9.140625" defaultRowHeight="12.75"/>
  <cols>
    <col min="1" max="1" width="27.8515625" style="1" customWidth="1"/>
    <col min="2" max="2" width="10.7109375" style="9" bestFit="1" customWidth="1"/>
    <col min="3" max="3" width="18.57421875" style="9" bestFit="1" customWidth="1"/>
    <col min="4" max="4" width="10.57421875" style="9" customWidth="1"/>
    <col min="5" max="5" width="10.7109375" style="9" bestFit="1" customWidth="1"/>
    <col min="6" max="6" width="10.7109375" style="9" customWidth="1"/>
    <col min="7" max="7" width="0.85546875" style="0" hidden="1" customWidth="1"/>
    <col min="8" max="8" width="6.28125" style="0" hidden="1" customWidth="1"/>
    <col min="9" max="9" width="6.00390625" style="0" hidden="1" customWidth="1"/>
    <col min="10" max="10" width="6.421875" style="0" hidden="1" customWidth="1"/>
    <col min="11" max="11" width="6.421875" style="0" customWidth="1"/>
    <col min="12" max="12" width="8.28125" style="6" customWidth="1"/>
    <col min="13" max="13" width="8.140625" style="4" customWidth="1"/>
    <col min="14" max="14" width="7.421875" style="0" customWidth="1"/>
  </cols>
  <sheetData>
    <row r="1" spans="1:6" ht="24" customHeight="1">
      <c r="A1" s="83" t="s">
        <v>102</v>
      </c>
      <c r="B1" s="83"/>
      <c r="C1" s="83"/>
      <c r="D1" s="83"/>
      <c r="E1" s="83"/>
      <c r="F1" s="83"/>
    </row>
    <row r="2" spans="1:13" ht="12.75">
      <c r="A2" s="21" t="s">
        <v>12</v>
      </c>
      <c r="B2" s="22" t="s">
        <v>46</v>
      </c>
      <c r="C2" s="22"/>
      <c r="D2" s="22"/>
      <c r="E2" s="22"/>
      <c r="F2" s="22"/>
      <c r="G2" s="15"/>
      <c r="H2" s="15"/>
      <c r="I2" s="15"/>
      <c r="J2" s="15"/>
      <c r="K2" s="23" t="s">
        <v>0</v>
      </c>
      <c r="L2" s="17" t="s">
        <v>3</v>
      </c>
      <c r="M2" s="20" t="s">
        <v>3</v>
      </c>
    </row>
    <row r="3" spans="1:13" ht="12.75">
      <c r="A3" s="15" t="s">
        <v>62</v>
      </c>
      <c r="B3" s="25">
        <v>250</v>
      </c>
      <c r="C3" s="25"/>
      <c r="D3" s="25"/>
      <c r="E3" s="25"/>
      <c r="F3" s="25"/>
      <c r="G3" s="15"/>
      <c r="H3" s="15"/>
      <c r="I3" s="15"/>
      <c r="J3" s="15"/>
      <c r="K3" s="23">
        <f aca="true" t="shared" si="0" ref="K3:K14">SUM(B3:J3)</f>
        <v>250</v>
      </c>
      <c r="L3" s="17">
        <f>RANK(K3,K3:K32,0)</f>
        <v>1</v>
      </c>
      <c r="M3" s="18" t="str">
        <f aca="true" t="shared" si="1" ref="M3:M14">IF(L3&lt;4,ROMAN(L3),L3)</f>
        <v>I</v>
      </c>
    </row>
    <row r="4" spans="1:13" ht="12.75">
      <c r="A4" s="15" t="s">
        <v>63</v>
      </c>
      <c r="B4" s="25">
        <v>250</v>
      </c>
      <c r="C4" s="25"/>
      <c r="D4" s="25"/>
      <c r="E4" s="25"/>
      <c r="F4" s="25"/>
      <c r="G4" s="15"/>
      <c r="H4" s="15"/>
      <c r="I4" s="15"/>
      <c r="J4" s="15"/>
      <c r="K4" s="23">
        <f t="shared" si="0"/>
        <v>250</v>
      </c>
      <c r="L4" s="17">
        <f>RANK(K4,K3:K32,0)</f>
        <v>1</v>
      </c>
      <c r="M4" s="18" t="str">
        <f t="shared" si="1"/>
        <v>I</v>
      </c>
    </row>
    <row r="5" spans="1:13" ht="12.75">
      <c r="A5" s="15" t="s">
        <v>64</v>
      </c>
      <c r="B5" s="25">
        <v>0</v>
      </c>
      <c r="C5" s="25"/>
      <c r="D5" s="25"/>
      <c r="E5" s="25"/>
      <c r="F5" s="25"/>
      <c r="G5" s="15"/>
      <c r="H5" s="15"/>
      <c r="I5" s="15"/>
      <c r="J5" s="15"/>
      <c r="K5" s="23">
        <f t="shared" si="0"/>
        <v>0</v>
      </c>
      <c r="L5" s="17">
        <f>RANK(K5,K3:K32,0)</f>
        <v>6</v>
      </c>
      <c r="M5" s="18">
        <f t="shared" si="1"/>
        <v>6</v>
      </c>
    </row>
    <row r="6" spans="1:13" ht="12.75">
      <c r="A6" s="15" t="s">
        <v>65</v>
      </c>
      <c r="B6" s="25">
        <v>0</v>
      </c>
      <c r="C6" s="25"/>
      <c r="D6" s="25"/>
      <c r="E6" s="25"/>
      <c r="F6" s="25"/>
      <c r="G6" s="15"/>
      <c r="H6" s="15"/>
      <c r="I6" s="15"/>
      <c r="J6" s="15"/>
      <c r="K6" s="23">
        <f t="shared" si="0"/>
        <v>0</v>
      </c>
      <c r="L6" s="17">
        <f>RANK(K6,K3:K32,0)</f>
        <v>6</v>
      </c>
      <c r="M6" s="18">
        <f t="shared" si="1"/>
        <v>6</v>
      </c>
    </row>
    <row r="7" spans="1:13" ht="12.75">
      <c r="A7" s="15" t="s">
        <v>66</v>
      </c>
      <c r="B7" s="25">
        <v>0</v>
      </c>
      <c r="C7" s="25"/>
      <c r="D7" s="25"/>
      <c r="E7" s="25"/>
      <c r="F7" s="25"/>
      <c r="G7" s="15"/>
      <c r="H7" s="15"/>
      <c r="I7" s="15"/>
      <c r="J7" s="15"/>
      <c r="K7" s="23">
        <f t="shared" si="0"/>
        <v>0</v>
      </c>
      <c r="L7" s="17">
        <f>RANK(K7,K3:K32,0)</f>
        <v>6</v>
      </c>
      <c r="M7" s="18">
        <f t="shared" si="1"/>
        <v>6</v>
      </c>
    </row>
    <row r="8" spans="1:13" ht="12.75">
      <c r="A8" s="15" t="s">
        <v>91</v>
      </c>
      <c r="B8" s="25">
        <v>0</v>
      </c>
      <c r="C8" s="25"/>
      <c r="D8" s="25"/>
      <c r="E8" s="25"/>
      <c r="F8" s="25"/>
      <c r="G8" s="15"/>
      <c r="H8" s="15"/>
      <c r="I8" s="15"/>
      <c r="J8" s="15"/>
      <c r="K8" s="23">
        <f t="shared" si="0"/>
        <v>0</v>
      </c>
      <c r="L8" s="17">
        <f>RANK(K8,K3:K32,0)</f>
        <v>6</v>
      </c>
      <c r="M8" s="18">
        <f t="shared" si="1"/>
        <v>6</v>
      </c>
    </row>
    <row r="9" spans="1:13" ht="12.75">
      <c r="A9" s="15" t="s">
        <v>67</v>
      </c>
      <c r="B9" s="25">
        <v>250</v>
      </c>
      <c r="C9" s="25"/>
      <c r="D9" s="25"/>
      <c r="E9" s="25"/>
      <c r="F9" s="25"/>
      <c r="G9" s="15"/>
      <c r="H9" s="15"/>
      <c r="I9" s="15"/>
      <c r="J9" s="15"/>
      <c r="K9" s="23">
        <f t="shared" si="0"/>
        <v>250</v>
      </c>
      <c r="L9" s="17">
        <f>RANK(K9,K3:K32,0)</f>
        <v>1</v>
      </c>
      <c r="M9" s="18" t="str">
        <f t="shared" si="1"/>
        <v>I</v>
      </c>
    </row>
    <row r="10" spans="1:13" ht="12.75">
      <c r="A10" s="15" t="s">
        <v>68</v>
      </c>
      <c r="B10" s="25">
        <v>0</v>
      </c>
      <c r="C10" s="25"/>
      <c r="D10" s="25"/>
      <c r="E10" s="25"/>
      <c r="F10" s="25"/>
      <c r="G10" s="15"/>
      <c r="H10" s="15"/>
      <c r="I10" s="15"/>
      <c r="J10" s="15"/>
      <c r="K10" s="23">
        <f t="shared" si="0"/>
        <v>0</v>
      </c>
      <c r="L10" s="17">
        <f>RANK(K10,K3:K32,0)</f>
        <v>6</v>
      </c>
      <c r="M10" s="18">
        <f t="shared" si="1"/>
        <v>6</v>
      </c>
    </row>
    <row r="11" spans="1:13" ht="12.75">
      <c r="A11" s="15" t="s">
        <v>69</v>
      </c>
      <c r="B11" s="25">
        <v>200</v>
      </c>
      <c r="C11" s="25"/>
      <c r="D11" s="25"/>
      <c r="E11" s="25"/>
      <c r="F11" s="25"/>
      <c r="G11" s="15"/>
      <c r="H11" s="15"/>
      <c r="I11" s="15"/>
      <c r="J11" s="15"/>
      <c r="K11" s="23">
        <f t="shared" si="0"/>
        <v>200</v>
      </c>
      <c r="L11" s="17">
        <f>RANK(K11,K3:K32,0)</f>
        <v>4</v>
      </c>
      <c r="M11" s="18">
        <f t="shared" si="1"/>
        <v>4</v>
      </c>
    </row>
    <row r="12" spans="1:13" ht="12.75">
      <c r="A12" s="50" t="s">
        <v>70</v>
      </c>
      <c r="B12" s="25">
        <v>200</v>
      </c>
      <c r="C12" s="25"/>
      <c r="D12" s="25"/>
      <c r="E12" s="25"/>
      <c r="F12" s="25"/>
      <c r="G12" s="15"/>
      <c r="H12" s="15"/>
      <c r="I12" s="15"/>
      <c r="J12" s="15"/>
      <c r="K12" s="23">
        <f t="shared" si="0"/>
        <v>200</v>
      </c>
      <c r="L12" s="17">
        <f>RANK(K12,K3:K32,0)</f>
        <v>4</v>
      </c>
      <c r="M12" s="18">
        <f t="shared" si="1"/>
        <v>4</v>
      </c>
    </row>
    <row r="13" spans="1:13" ht="12.75">
      <c r="A13" s="15" t="s">
        <v>71</v>
      </c>
      <c r="B13" s="25">
        <v>0</v>
      </c>
      <c r="C13" s="25"/>
      <c r="D13" s="25"/>
      <c r="E13" s="25"/>
      <c r="F13" s="25"/>
      <c r="G13" s="15"/>
      <c r="H13" s="15"/>
      <c r="I13" s="15"/>
      <c r="J13" s="15"/>
      <c r="K13" s="23">
        <f t="shared" si="0"/>
        <v>0</v>
      </c>
      <c r="L13" s="17">
        <f>RANK(K13,K3:K32,0)</f>
        <v>6</v>
      </c>
      <c r="M13" s="18">
        <f t="shared" si="1"/>
        <v>6</v>
      </c>
    </row>
    <row r="14" spans="1:13" ht="12.75">
      <c r="A14" s="15" t="s">
        <v>72</v>
      </c>
      <c r="B14" s="25">
        <v>0</v>
      </c>
      <c r="C14" s="25"/>
      <c r="D14" s="25"/>
      <c r="E14" s="25"/>
      <c r="F14" s="25"/>
      <c r="G14" s="15"/>
      <c r="H14" s="15"/>
      <c r="I14" s="15"/>
      <c r="J14" s="15"/>
      <c r="K14" s="23">
        <f t="shared" si="0"/>
        <v>0</v>
      </c>
      <c r="L14" s="17">
        <f>RANK(K14,K3:K32,0)</f>
        <v>6</v>
      </c>
      <c r="M14" s="18">
        <f t="shared" si="1"/>
        <v>6</v>
      </c>
    </row>
    <row r="15" spans="1:13" ht="12.75">
      <c r="A15" s="24"/>
      <c r="B15" s="25"/>
      <c r="C15" s="25"/>
      <c r="D15" s="25"/>
      <c r="E15" s="25"/>
      <c r="F15" s="25"/>
      <c r="G15" s="15"/>
      <c r="H15" s="15"/>
      <c r="I15" s="15"/>
      <c r="J15" s="15"/>
      <c r="K15" s="23"/>
      <c r="L15" s="17"/>
      <c r="M15" s="18"/>
    </row>
    <row r="16" spans="1:13" ht="12.75">
      <c r="A16" s="24"/>
      <c r="B16" s="25"/>
      <c r="C16" s="25"/>
      <c r="D16" s="25"/>
      <c r="E16" s="25"/>
      <c r="F16" s="25"/>
      <c r="G16" s="15"/>
      <c r="H16" s="15"/>
      <c r="I16" s="15"/>
      <c r="J16" s="15"/>
      <c r="K16" s="23"/>
      <c r="L16" s="17"/>
      <c r="M16" s="18"/>
    </row>
    <row r="17" spans="1:13" ht="12.75">
      <c r="A17" s="61"/>
      <c r="B17" s="62"/>
      <c r="E17" s="62"/>
      <c r="F17" s="62"/>
      <c r="G17" s="54"/>
      <c r="H17" s="54"/>
      <c r="I17" s="54"/>
      <c r="J17" s="54"/>
      <c r="K17" s="63"/>
      <c r="L17" s="56"/>
      <c r="M17" s="46"/>
    </row>
    <row r="18" spans="1:13" ht="12.75">
      <c r="A18" s="61"/>
      <c r="B18" s="62"/>
      <c r="E18" s="62"/>
      <c r="F18" s="62"/>
      <c r="G18" s="54"/>
      <c r="H18" s="54"/>
      <c r="I18" s="54"/>
      <c r="J18" s="54"/>
      <c r="K18" s="63"/>
      <c r="L18" s="56"/>
      <c r="M18" s="46"/>
    </row>
    <row r="19" spans="1:13" ht="12.75">
      <c r="A19" s="61"/>
      <c r="B19" s="62"/>
      <c r="E19" s="62"/>
      <c r="F19" s="62"/>
      <c r="G19" s="54"/>
      <c r="H19" s="54"/>
      <c r="I19" s="54"/>
      <c r="J19" s="54"/>
      <c r="K19" s="63"/>
      <c r="L19" s="56"/>
      <c r="M19" s="46"/>
    </row>
    <row r="20" spans="1:13" ht="12.75">
      <c r="A20" s="61"/>
      <c r="B20" s="62"/>
      <c r="C20" s="62" t="s">
        <v>49</v>
      </c>
      <c r="D20" s="62"/>
      <c r="E20" s="62"/>
      <c r="F20" s="62"/>
      <c r="G20" s="54"/>
      <c r="H20" s="54"/>
      <c r="I20" s="54"/>
      <c r="J20" s="54"/>
      <c r="K20" s="63"/>
      <c r="L20" s="56"/>
      <c r="M20" s="46"/>
    </row>
    <row r="21" spans="1:13" ht="12.75">
      <c r="A21" s="61"/>
      <c r="B21" s="62"/>
      <c r="C21" s="9" t="s">
        <v>58</v>
      </c>
      <c r="D21" s="9" t="s">
        <v>59</v>
      </c>
      <c r="E21" s="62"/>
      <c r="F21" s="62"/>
      <c r="G21" s="54"/>
      <c r="H21" s="54"/>
      <c r="I21" s="54"/>
      <c r="J21" s="54"/>
      <c r="K21" s="63"/>
      <c r="L21" s="56"/>
      <c r="M21" s="46"/>
    </row>
    <row r="22" spans="1:13" ht="12.75">
      <c r="A22" s="61"/>
      <c r="B22" s="62"/>
      <c r="C22" s="62" t="s">
        <v>48</v>
      </c>
      <c r="D22" s="62" t="s">
        <v>47</v>
      </c>
      <c r="E22" s="62"/>
      <c r="F22" s="62"/>
      <c r="G22" s="54"/>
      <c r="H22" s="54"/>
      <c r="I22" s="54"/>
      <c r="J22" s="54"/>
      <c r="K22" s="63"/>
      <c r="L22" s="56"/>
      <c r="M22" s="46"/>
    </row>
    <row r="23" spans="3:13" ht="12.75">
      <c r="C23" s="62" t="s">
        <v>50</v>
      </c>
      <c r="D23" s="62" t="s">
        <v>51</v>
      </c>
      <c r="K23" s="2"/>
      <c r="M23" s="5"/>
    </row>
    <row r="24" spans="1:13" ht="12.75">
      <c r="A24" s="10"/>
      <c r="C24" s="75" t="s">
        <v>52</v>
      </c>
      <c r="D24" s="62" t="s">
        <v>53</v>
      </c>
      <c r="K24" s="2"/>
      <c r="M24" s="5"/>
    </row>
    <row r="25" spans="3:13" ht="12.75">
      <c r="C25" s="74" t="s">
        <v>54</v>
      </c>
      <c r="D25" s="62" t="s">
        <v>55</v>
      </c>
      <c r="K25" s="2"/>
      <c r="M25" s="5"/>
    </row>
    <row r="26" spans="3:13" ht="12.75">
      <c r="C26" s="74" t="s">
        <v>56</v>
      </c>
      <c r="D26" s="62" t="s">
        <v>57</v>
      </c>
      <c r="K26" s="2"/>
      <c r="M26" s="5"/>
    </row>
    <row r="27" spans="3:13" ht="12.75">
      <c r="C27" s="9" t="s">
        <v>60</v>
      </c>
      <c r="D27" s="1">
        <v>0</v>
      </c>
      <c r="K27" s="2"/>
      <c r="M27" s="5"/>
    </row>
    <row r="28" spans="4:13" ht="12.75">
      <c r="D28" s="1"/>
      <c r="K28" s="2"/>
      <c r="M28" s="5"/>
    </row>
    <row r="29" spans="11:13" ht="12.75">
      <c r="K29" s="2"/>
      <c r="M29" s="5"/>
    </row>
    <row r="30" spans="11:13" ht="12.75">
      <c r="K30" s="2"/>
      <c r="M30" s="5"/>
    </row>
    <row r="31" spans="11:13" ht="12.75">
      <c r="K31" s="2"/>
      <c r="M31" s="5"/>
    </row>
    <row r="32" spans="11:13" ht="12.75">
      <c r="K32" s="2"/>
      <c r="M32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27.421875" style="0" customWidth="1"/>
    <col min="2" max="2" width="15.8515625" style="30" customWidth="1"/>
    <col min="3" max="3" width="15.140625" style="0" customWidth="1"/>
    <col min="4" max="4" width="12.140625" style="0" customWidth="1"/>
    <col min="5" max="5" width="9.57421875" style="0" hidden="1" customWidth="1"/>
    <col min="6" max="6" width="9.7109375" style="0" customWidth="1"/>
    <col min="7" max="7" width="7.8515625" style="0" customWidth="1"/>
    <col min="8" max="9" width="5.28125" style="0" customWidth="1"/>
    <col min="10" max="10" width="6.7109375" style="0" customWidth="1"/>
    <col min="11" max="11" width="6.57421875" style="0" customWidth="1"/>
    <col min="12" max="12" width="7.7109375" style="6" hidden="1" customWidth="1"/>
    <col min="13" max="13" width="8.140625" style="4" customWidth="1"/>
  </cols>
  <sheetData>
    <row r="1" spans="1:6" ht="22.5" customHeight="1">
      <c r="A1" s="82" t="s">
        <v>99</v>
      </c>
      <c r="B1" s="82"/>
      <c r="C1" s="82"/>
      <c r="D1" s="82"/>
      <c r="E1" s="82"/>
      <c r="F1" s="82"/>
    </row>
    <row r="2" spans="1:13" ht="12.75">
      <c r="A2" s="21" t="s">
        <v>12</v>
      </c>
      <c r="B2" s="22" t="s">
        <v>26</v>
      </c>
      <c r="C2" s="22" t="s">
        <v>27</v>
      </c>
      <c r="D2" s="36" t="s">
        <v>4</v>
      </c>
      <c r="E2" s="15"/>
      <c r="F2" s="15" t="s">
        <v>100</v>
      </c>
      <c r="G2" s="15"/>
      <c r="H2" s="15"/>
      <c r="I2" s="15"/>
      <c r="J2" s="15"/>
      <c r="K2" s="27" t="s">
        <v>0</v>
      </c>
      <c r="L2" s="17"/>
      <c r="M2" s="20" t="s">
        <v>3</v>
      </c>
    </row>
    <row r="3" spans="1:13" ht="12.75">
      <c r="A3" s="15" t="str">
        <f>Список!A3</f>
        <v>1. Владимир Яворский</v>
      </c>
      <c r="B3" s="38">
        <v>0</v>
      </c>
      <c r="C3" s="38">
        <v>0.009907407407407408</v>
      </c>
      <c r="D3" s="35">
        <f>HOUR(C3-B3)*3600+MINUTE(C3-B3)*60+SECOND(C3-B3)</f>
        <v>856</v>
      </c>
      <c r="E3" s="15">
        <f>IF(D3&gt;0,D3,"")</f>
        <v>856</v>
      </c>
      <c r="F3" s="15"/>
      <c r="G3" s="15"/>
      <c r="H3" s="15"/>
      <c r="I3" s="15"/>
      <c r="J3" s="15"/>
      <c r="K3" s="28">
        <f>IF(D3&gt;0,ROUND(E35/D3*1000,0),0)*IF(F3&gt;0,F3/100,1)</f>
        <v>799</v>
      </c>
      <c r="L3" s="17">
        <f>RANK(K3,K3:K32,0)</f>
        <v>6</v>
      </c>
      <c r="M3" s="18">
        <f aca="true" t="shared" si="0" ref="M3:M14">IF(L3&lt;4,ROMAN(L3),L3)</f>
        <v>6</v>
      </c>
    </row>
    <row r="4" spans="1:13" ht="12.75">
      <c r="A4" s="15" t="str">
        <f>Список!A4</f>
        <v>4. Paulius, Burčikas</v>
      </c>
      <c r="B4" s="38">
        <v>0.009722222222222222</v>
      </c>
      <c r="C4" s="38">
        <v>0.018622685185185183</v>
      </c>
      <c r="D4" s="35">
        <f aca="true" t="shared" si="1" ref="D4:D22">HOUR(C4-B4)*3600+MINUTE(C4-B4)*60+SECOND(C4-B4)</f>
        <v>769</v>
      </c>
      <c r="E4" s="15">
        <f aca="true" t="shared" si="2" ref="E4:E22">IF(D4&gt;0,D4,"")</f>
        <v>769</v>
      </c>
      <c r="F4" s="15"/>
      <c r="G4" s="15"/>
      <c r="H4" s="15"/>
      <c r="I4" s="15"/>
      <c r="J4" s="15"/>
      <c r="K4" s="28">
        <f>IF(D4&gt;0,ROUND(E35/D4*1000,0),0)*IF(F4&gt;0,F4/100,1)</f>
        <v>889</v>
      </c>
      <c r="L4" s="17">
        <f>RANK(K4,K3:K32,0)</f>
        <v>4</v>
      </c>
      <c r="M4" s="18">
        <f t="shared" si="0"/>
        <v>4</v>
      </c>
    </row>
    <row r="5" spans="1:13" ht="12.75">
      <c r="A5" s="15" t="str">
        <f>Список!A5</f>
        <v>5.Денис Украинцев</v>
      </c>
      <c r="B5" s="38"/>
      <c r="C5" s="38"/>
      <c r="D5" s="35">
        <v>0</v>
      </c>
      <c r="E5" s="15"/>
      <c r="F5" s="15"/>
      <c r="G5" s="15"/>
      <c r="H5" s="15"/>
      <c r="I5" s="15"/>
      <c r="J5" s="15"/>
      <c r="K5" s="28">
        <f>IF(D5&gt;0,ROUND(E35/D5*1000,0),0)*IF(F5&gt;0,F5/100,1)</f>
        <v>0</v>
      </c>
      <c r="L5" s="17">
        <f>RANK(K5,K3:K32,0)</f>
        <v>10</v>
      </c>
      <c r="M5" s="18">
        <f t="shared" si="0"/>
        <v>10</v>
      </c>
    </row>
    <row r="6" spans="1:13" ht="12.75">
      <c r="A6" s="15" t="str">
        <f>Список!A6</f>
        <v>7. Константин Козар</v>
      </c>
      <c r="B6" s="38">
        <v>0.001388888888888889</v>
      </c>
      <c r="C6" s="38">
        <v>0.011666666666666667</v>
      </c>
      <c r="D6" s="35">
        <f t="shared" si="1"/>
        <v>888</v>
      </c>
      <c r="E6" s="15">
        <f t="shared" si="2"/>
        <v>888</v>
      </c>
      <c r="F6" s="15"/>
      <c r="G6" s="15"/>
      <c r="H6" s="15"/>
      <c r="I6" s="15"/>
      <c r="J6" s="15"/>
      <c r="K6" s="28">
        <f>IF(D6&gt;0,ROUND(E35/D6*1000,0),0)*IF(F6&gt;0,F6/100,1)</f>
        <v>770</v>
      </c>
      <c r="L6" s="17">
        <f>RANK(K6,K3:K32,0)</f>
        <v>7</v>
      </c>
      <c r="M6" s="18">
        <f t="shared" si="0"/>
        <v>7</v>
      </c>
    </row>
    <row r="7" spans="1:13" ht="12.75">
      <c r="A7" s="15" t="str">
        <f>Список!A7</f>
        <v>8.Александр Конош</v>
      </c>
      <c r="B7" s="38">
        <v>0.005555555555555556</v>
      </c>
      <c r="C7" s="38">
        <v>0.017708333333333333</v>
      </c>
      <c r="D7" s="35">
        <f t="shared" si="1"/>
        <v>1050</v>
      </c>
      <c r="E7" s="15">
        <f t="shared" si="2"/>
        <v>1050</v>
      </c>
      <c r="F7" s="15">
        <v>20</v>
      </c>
      <c r="G7" s="15"/>
      <c r="H7" s="15"/>
      <c r="I7" s="15"/>
      <c r="J7" s="15"/>
      <c r="K7" s="52">
        <f>IF(D7&gt;0,ROUND(E35/D7*1000,0),0)*IF(F7&gt;0,F7/100,1)</f>
        <v>130.20000000000002</v>
      </c>
      <c r="L7" s="17">
        <f>RANK(K7,K3:K32,0)</f>
        <v>9</v>
      </c>
      <c r="M7" s="18">
        <f t="shared" si="0"/>
        <v>9</v>
      </c>
    </row>
    <row r="8" spans="1:13" ht="12.75">
      <c r="A8" s="15" t="str">
        <f>Список!A8</f>
        <v>11. Дмитрий Анейчик</v>
      </c>
      <c r="B8" s="38">
        <v>0.011111111111111112</v>
      </c>
      <c r="C8" s="38">
        <v>0.019467592592592595</v>
      </c>
      <c r="D8" s="35">
        <f t="shared" si="1"/>
        <v>722</v>
      </c>
      <c r="E8" s="15">
        <f t="shared" si="2"/>
        <v>722</v>
      </c>
      <c r="F8" s="15"/>
      <c r="G8" s="15"/>
      <c r="H8" s="15"/>
      <c r="I8" s="15"/>
      <c r="J8" s="15"/>
      <c r="K8" s="28">
        <f>IF(D8&gt;0,ROUND(E35/D8*1000,0),0)*IF(F8&gt;0,F8/100,1)</f>
        <v>947</v>
      </c>
      <c r="L8" s="17">
        <f>RANK(K8,K3:K32,0)</f>
        <v>2</v>
      </c>
      <c r="M8" s="18" t="str">
        <f t="shared" si="0"/>
        <v>II</v>
      </c>
    </row>
    <row r="9" spans="1:13" ht="12.75">
      <c r="A9" s="15" t="str">
        <f>Список!A9</f>
        <v>12. Tomas, Raibikis</v>
      </c>
      <c r="B9" s="38">
        <v>0.004166666666666667</v>
      </c>
      <c r="C9" s="38">
        <v>0.012083333333333333</v>
      </c>
      <c r="D9" s="35">
        <f t="shared" si="1"/>
        <v>684</v>
      </c>
      <c r="E9" s="15">
        <f t="shared" si="2"/>
        <v>684</v>
      </c>
      <c r="F9" s="15"/>
      <c r="G9" s="15"/>
      <c r="H9" s="15"/>
      <c r="I9" s="15"/>
      <c r="J9" s="15"/>
      <c r="K9" s="28">
        <f>IF(D9&gt;0,ROUND(E35/D9*1000,0),0)*IF(F9&gt;0,F9/100,1)</f>
        <v>1000</v>
      </c>
      <c r="L9" s="17">
        <f>RANK(K9,K3:K32,0)</f>
        <v>1</v>
      </c>
      <c r="M9" s="18" t="str">
        <f t="shared" si="0"/>
        <v>I</v>
      </c>
    </row>
    <row r="10" spans="1:13" ht="12.75">
      <c r="A10" s="15" t="str">
        <f>Список!A10</f>
        <v>44.Виктор Волосевич</v>
      </c>
      <c r="B10" s="38">
        <v>0.008333333333333333</v>
      </c>
      <c r="C10" s="38">
        <v>0.019328703703703702</v>
      </c>
      <c r="D10" s="35">
        <f t="shared" si="1"/>
        <v>950</v>
      </c>
      <c r="E10" s="15">
        <f t="shared" si="2"/>
        <v>950</v>
      </c>
      <c r="F10" s="15">
        <v>20</v>
      </c>
      <c r="G10" s="15"/>
      <c r="H10" s="15"/>
      <c r="I10" s="15"/>
      <c r="J10" s="15"/>
      <c r="K10" s="28">
        <f>IF(D10&gt;0,ROUND(E35/D10*1000,0),0)*IF(F10&gt;0,F10/100,1)</f>
        <v>144</v>
      </c>
      <c r="L10" s="17">
        <f>RANK(K10,K3:K32,0)</f>
        <v>8</v>
      </c>
      <c r="M10" s="18">
        <f t="shared" si="0"/>
        <v>8</v>
      </c>
    </row>
    <row r="11" spans="1:13" ht="12.75">
      <c r="A11" s="15" t="str">
        <f>Список!A11</f>
        <v>111. Aloyzas, Liaukus</v>
      </c>
      <c r="B11" s="38">
        <v>0.002777777777777778</v>
      </c>
      <c r="C11" s="38">
        <v>0.012569444444444446</v>
      </c>
      <c r="D11" s="35">
        <f t="shared" si="1"/>
        <v>846</v>
      </c>
      <c r="E11" s="15">
        <f t="shared" si="2"/>
        <v>846</v>
      </c>
      <c r="F11" s="15"/>
      <c r="G11" s="15"/>
      <c r="H11" s="15"/>
      <c r="I11" s="15"/>
      <c r="J11" s="15"/>
      <c r="K11" s="28">
        <f>IF(D11&gt;0,ROUND(E35/D11*1000,0),0)*IF(F11&gt;0,F11/100,1)</f>
        <v>809</v>
      </c>
      <c r="L11" s="17">
        <f>RANK(K11,K3:K32,0)</f>
        <v>5</v>
      </c>
      <c r="M11" s="18">
        <f t="shared" si="0"/>
        <v>5</v>
      </c>
    </row>
    <row r="12" spans="1:13" ht="12.75">
      <c r="A12" s="15" t="str">
        <f>Список!A12</f>
        <v>305.Elegius, Golcas</v>
      </c>
      <c r="B12" s="38">
        <v>0.006944444444444444</v>
      </c>
      <c r="C12" s="38">
        <v>0.01579861111111111</v>
      </c>
      <c r="D12" s="35">
        <f t="shared" si="1"/>
        <v>765</v>
      </c>
      <c r="E12" s="15">
        <f t="shared" si="2"/>
        <v>765</v>
      </c>
      <c r="F12" s="15"/>
      <c r="G12" s="15"/>
      <c r="H12" s="15"/>
      <c r="I12" s="15"/>
      <c r="J12" s="15"/>
      <c r="K12" s="28">
        <f>IF(D12&gt;0,ROUND(E35/D12*1000,0),0)*IF(F12&gt;0,F12/100,1)</f>
        <v>894</v>
      </c>
      <c r="L12" s="17">
        <f>RANK(K12,K3:K32,0)</f>
        <v>3</v>
      </c>
      <c r="M12" s="18" t="str">
        <f t="shared" si="0"/>
        <v>III</v>
      </c>
    </row>
    <row r="13" spans="1:13" ht="12.75">
      <c r="A13" s="15" t="str">
        <f>Список!A13</f>
        <v>3.Валерий Откидач</v>
      </c>
      <c r="B13" s="38"/>
      <c r="C13" s="38"/>
      <c r="D13" s="35">
        <f t="shared" si="1"/>
        <v>0</v>
      </c>
      <c r="E13" s="15">
        <f t="shared" si="2"/>
      </c>
      <c r="F13" s="15"/>
      <c r="G13" s="15"/>
      <c r="H13" s="15"/>
      <c r="I13" s="15"/>
      <c r="J13" s="15"/>
      <c r="K13" s="28">
        <f>IF(D13&gt;0,ROUND(E35/D13*1000,0),0)*IF(F13&gt;0,F13/100,1)</f>
        <v>0</v>
      </c>
      <c r="L13" s="17">
        <f>RANK(K13,K3:K32,0)</f>
        <v>10</v>
      </c>
      <c r="M13" s="18">
        <f t="shared" si="0"/>
        <v>10</v>
      </c>
    </row>
    <row r="14" spans="1:13" ht="12.75">
      <c r="A14" s="15" t="str">
        <f>Список!A14</f>
        <v>61.Александр Прокоп</v>
      </c>
      <c r="B14" s="38"/>
      <c r="C14" s="38"/>
      <c r="D14" s="35">
        <v>0</v>
      </c>
      <c r="E14" s="15"/>
      <c r="F14" s="15"/>
      <c r="G14" s="15"/>
      <c r="H14" s="15"/>
      <c r="I14" s="15"/>
      <c r="J14" s="15"/>
      <c r="K14" s="28">
        <f>IF(D14&gt;0,ROUND(E35/D14*1000,0),0)*IF(F14&gt;0,F14/100,1)</f>
        <v>0</v>
      </c>
      <c r="L14" s="17">
        <f>RANK(K14,K3:K32,0)</f>
        <v>10</v>
      </c>
      <c r="M14" s="18">
        <f t="shared" si="0"/>
        <v>10</v>
      </c>
    </row>
    <row r="15" spans="1:13" ht="12.75">
      <c r="A15" s="15"/>
      <c r="B15" s="38"/>
      <c r="C15" s="38"/>
      <c r="D15" s="35"/>
      <c r="E15" s="15"/>
      <c r="F15" s="15"/>
      <c r="G15" s="15"/>
      <c r="H15" s="15"/>
      <c r="I15" s="15"/>
      <c r="J15" s="15"/>
      <c r="K15" s="28"/>
      <c r="L15" s="17"/>
      <c r="M15" s="18"/>
    </row>
    <row r="16" spans="1:13" ht="12.75">
      <c r="A16" s="15"/>
      <c r="B16" s="38"/>
      <c r="C16" s="38"/>
      <c r="D16" s="35"/>
      <c r="E16" s="15"/>
      <c r="F16" s="15"/>
      <c r="G16" s="15"/>
      <c r="H16" s="15"/>
      <c r="I16" s="15"/>
      <c r="J16" s="15"/>
      <c r="K16" s="28"/>
      <c r="L16" s="17"/>
      <c r="M16" s="18"/>
    </row>
    <row r="17" spans="1:13" ht="12.75">
      <c r="A17" s="15"/>
      <c r="B17" s="39"/>
      <c r="C17" s="38"/>
      <c r="D17" s="35"/>
      <c r="E17" s="15"/>
      <c r="F17" s="15"/>
      <c r="G17" s="15"/>
      <c r="H17" s="15"/>
      <c r="I17" s="15"/>
      <c r="J17" s="15"/>
      <c r="K17" s="28"/>
      <c r="L17" s="17"/>
      <c r="M17" s="18"/>
    </row>
    <row r="18" spans="1:13" ht="12.75">
      <c r="A18" s="15"/>
      <c r="B18" s="39"/>
      <c r="C18" s="38"/>
      <c r="D18" s="35"/>
      <c r="E18" s="15"/>
      <c r="F18" s="15"/>
      <c r="G18" s="15"/>
      <c r="H18" s="15"/>
      <c r="I18" s="15"/>
      <c r="J18" s="15"/>
      <c r="K18" s="28"/>
      <c r="L18" s="17"/>
      <c r="M18" s="18"/>
    </row>
    <row r="19" spans="1:13" ht="12.75">
      <c r="A19" s="15"/>
      <c r="B19" s="39"/>
      <c r="C19" s="38"/>
      <c r="D19" s="35"/>
      <c r="E19" s="15"/>
      <c r="F19" s="15"/>
      <c r="G19" s="15"/>
      <c r="H19" s="15"/>
      <c r="I19" s="15"/>
      <c r="J19" s="15"/>
      <c r="K19" s="28"/>
      <c r="L19" s="17"/>
      <c r="M19" s="18"/>
    </row>
    <row r="20" spans="1:13" ht="12.75">
      <c r="A20" s="15"/>
      <c r="B20" s="39"/>
      <c r="C20" s="38"/>
      <c r="D20" s="35"/>
      <c r="E20" s="15"/>
      <c r="F20" s="15"/>
      <c r="G20" s="15"/>
      <c r="H20" s="15"/>
      <c r="I20" s="15"/>
      <c r="J20" s="15"/>
      <c r="K20" s="28"/>
      <c r="L20" s="17"/>
      <c r="M20" s="18"/>
    </row>
    <row r="21" spans="1:13" ht="12.75">
      <c r="A21" s="15"/>
      <c r="B21" s="39"/>
      <c r="C21" s="38"/>
      <c r="D21" s="35"/>
      <c r="E21" s="15"/>
      <c r="F21" s="15"/>
      <c r="G21" s="15"/>
      <c r="H21" s="15"/>
      <c r="I21" s="15"/>
      <c r="J21" s="15"/>
      <c r="K21" s="28"/>
      <c r="L21" s="17"/>
      <c r="M21" s="18"/>
    </row>
    <row r="22" spans="1:13" ht="12.75">
      <c r="A22" s="15"/>
      <c r="B22" s="39"/>
      <c r="C22" s="38"/>
      <c r="D22" s="35"/>
      <c r="E22" s="15"/>
      <c r="F22" s="15"/>
      <c r="G22" s="15"/>
      <c r="H22" s="15"/>
      <c r="I22" s="15"/>
      <c r="J22" s="15"/>
      <c r="K22" s="28"/>
      <c r="L22" s="17"/>
      <c r="M22" s="18"/>
    </row>
    <row r="23" spans="11:13" ht="12.75">
      <c r="K23" s="7"/>
      <c r="M23" s="5"/>
    </row>
    <row r="24" spans="4:13" ht="12.75">
      <c r="D24" t="s">
        <v>13</v>
      </c>
      <c r="E24" s="33" t="s">
        <v>22</v>
      </c>
      <c r="F24" t="s">
        <v>22</v>
      </c>
      <c r="K24" s="7"/>
      <c r="M24" s="5"/>
    </row>
    <row r="25" spans="11:13" ht="12.75">
      <c r="K25" s="7"/>
      <c r="M25" s="5"/>
    </row>
    <row r="26" spans="11:13" ht="12.75">
      <c r="K26" s="7"/>
      <c r="M26" s="5"/>
    </row>
    <row r="27" spans="4:13" ht="12.75">
      <c r="D27" t="s">
        <v>14</v>
      </c>
      <c r="K27" s="7"/>
      <c r="M27" s="5"/>
    </row>
    <row r="28" spans="4:13" ht="12.75">
      <c r="D28" t="s">
        <v>23</v>
      </c>
      <c r="K28" s="7"/>
      <c r="M28" s="5"/>
    </row>
    <row r="29" spans="4:13" ht="12.75">
      <c r="D29" t="s">
        <v>24</v>
      </c>
      <c r="K29" s="7"/>
      <c r="M29" s="5"/>
    </row>
    <row r="30" spans="11:13" ht="12.75">
      <c r="K30" s="7"/>
      <c r="M30" s="5"/>
    </row>
    <row r="31" spans="11:13" ht="12.75">
      <c r="K31" s="7"/>
      <c r="M31" s="5"/>
    </row>
    <row r="32" spans="11:13" ht="12.75">
      <c r="K32" s="7"/>
      <c r="M32" s="5"/>
    </row>
    <row r="34" ht="12.75" customHeight="1"/>
    <row r="35" ht="15.75" customHeight="1">
      <c r="E35" s="37">
        <f>MIN(E3:E22)</f>
        <v>684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7.8515625" style="10" customWidth="1"/>
    <col min="2" max="2" width="9.421875" style="12" customWidth="1"/>
    <col min="3" max="3" width="9.7109375" style="12" bestFit="1" customWidth="1"/>
    <col min="4" max="4" width="10.28125" style="12" bestFit="1" customWidth="1"/>
    <col min="5" max="5" width="6.28125" style="12" hidden="1" customWidth="1"/>
    <col min="6" max="6" width="9.421875" style="12" customWidth="1"/>
    <col min="7" max="7" width="9.28125" style="12" bestFit="1" customWidth="1"/>
    <col min="8" max="8" width="10.7109375" style="0" hidden="1" customWidth="1"/>
    <col min="9" max="9" width="11.28125" style="0" customWidth="1"/>
    <col min="10" max="10" width="8.140625" style="0" customWidth="1"/>
    <col min="11" max="11" width="8.421875" style="8" customWidth="1"/>
    <col min="12" max="12" width="6.8515625" style="6" hidden="1" customWidth="1"/>
    <col min="13" max="13" width="8.140625" style="4" customWidth="1"/>
  </cols>
  <sheetData>
    <row r="1" spans="1:13" s="54" customFormat="1" ht="24.75" customHeight="1">
      <c r="A1" s="83" t="s">
        <v>11</v>
      </c>
      <c r="B1" s="83"/>
      <c r="C1" s="83"/>
      <c r="D1" s="83"/>
      <c r="E1" s="83"/>
      <c r="F1" s="83"/>
      <c r="G1" s="53"/>
      <c r="K1" s="55"/>
      <c r="L1" s="56"/>
      <c r="M1" s="57"/>
    </row>
    <row r="2" spans="1:13" s="54" customFormat="1" ht="30" customHeight="1">
      <c r="A2" s="19" t="s">
        <v>12</v>
      </c>
      <c r="B2" s="32" t="s">
        <v>20</v>
      </c>
      <c r="C2" s="32" t="s">
        <v>19</v>
      </c>
      <c r="D2" s="44" t="s">
        <v>61</v>
      </c>
      <c r="E2" s="32"/>
      <c r="F2" s="32" t="s">
        <v>97</v>
      </c>
      <c r="G2" s="32" t="s">
        <v>10</v>
      </c>
      <c r="H2" s="40"/>
      <c r="I2" s="32" t="s">
        <v>101</v>
      </c>
      <c r="J2" s="32" t="s">
        <v>21</v>
      </c>
      <c r="K2" s="16" t="s">
        <v>0</v>
      </c>
      <c r="L2" s="17" t="s">
        <v>3</v>
      </c>
      <c r="M2" s="20" t="s">
        <v>3</v>
      </c>
    </row>
    <row r="3" spans="1:13" s="54" customFormat="1" ht="12.75">
      <c r="A3" s="15" t="s">
        <v>62</v>
      </c>
      <c r="B3" s="14">
        <f>'Больше-Меньше'!K3</f>
        <v>582</v>
      </c>
      <c r="C3" s="14">
        <f>Точность!K3</f>
        <v>250</v>
      </c>
      <c r="D3" s="51">
        <f>Экономия!M3</f>
        <v>1118.5</v>
      </c>
      <c r="E3" s="14"/>
      <c r="F3" s="51">
        <f>Слалом!K3</f>
        <v>1945</v>
      </c>
      <c r="G3" s="51">
        <f>'Полет по заданному маршруту'!N3</f>
        <v>1355.2500000000002</v>
      </c>
      <c r="H3" s="35"/>
      <c r="I3" s="35">
        <f>'Точность 2'!K3</f>
        <v>250</v>
      </c>
      <c r="J3" s="15">
        <f>Гонка!K3</f>
        <v>799</v>
      </c>
      <c r="K3" s="68">
        <f aca="true" t="shared" si="0" ref="K3:K14">SUM(B3:J3)</f>
        <v>6299.75</v>
      </c>
      <c r="L3" s="17">
        <f>RANK(K3,K3:K32,0)</f>
        <v>1</v>
      </c>
      <c r="M3" s="18" t="str">
        <f>IF(L3&lt;4,ROMAN(L3),L3)</f>
        <v>I</v>
      </c>
    </row>
    <row r="4" spans="1:13" s="54" customFormat="1" ht="12.75">
      <c r="A4" s="15" t="s">
        <v>63</v>
      </c>
      <c r="B4" s="14">
        <f>'Больше-Меньше'!K4</f>
        <v>822</v>
      </c>
      <c r="C4" s="14">
        <f>Точность!K4</f>
        <v>150</v>
      </c>
      <c r="D4" s="51">
        <f>Экономия!M4</f>
        <v>480</v>
      </c>
      <c r="E4" s="14"/>
      <c r="F4" s="51">
        <f>Слалом!K4</f>
        <v>1773</v>
      </c>
      <c r="G4" s="51">
        <f>'Полет по заданному маршруту'!N4</f>
        <v>1021.9799387256314</v>
      </c>
      <c r="H4" s="35"/>
      <c r="I4" s="35">
        <f>'Точность 2'!K4</f>
        <v>250</v>
      </c>
      <c r="J4" s="15">
        <f>Гонка!K4</f>
        <v>889</v>
      </c>
      <c r="K4" s="68">
        <f t="shared" si="0"/>
        <v>5385.979938725632</v>
      </c>
      <c r="L4" s="17">
        <f>RANK(K4,K3:K32,0)</f>
        <v>3</v>
      </c>
      <c r="M4" s="18" t="str">
        <f aca="true" t="shared" si="1" ref="M4:M14">IF(L4&lt;4,ROMAN(L4),L4)</f>
        <v>III</v>
      </c>
    </row>
    <row r="5" spans="1:13" s="54" customFormat="1" ht="12.75">
      <c r="A5" s="15" t="s">
        <v>64</v>
      </c>
      <c r="B5" s="14">
        <f>'Больше-Меньше'!K5</f>
        <v>629</v>
      </c>
      <c r="C5" s="14">
        <f>Точность!K5</f>
        <v>150</v>
      </c>
      <c r="D5" s="51">
        <f>Экономия!M5</f>
        <v>954.909090909091</v>
      </c>
      <c r="E5" s="14"/>
      <c r="F5" s="51">
        <f>Слалом!K5</f>
        <v>0</v>
      </c>
      <c r="G5" s="51">
        <f>'Полет по заданному маршруту'!N5</f>
        <v>1090.0372385918872</v>
      </c>
      <c r="H5" s="35"/>
      <c r="I5" s="35">
        <f>'Точность 2'!K5</f>
        <v>0</v>
      </c>
      <c r="J5" s="15">
        <f>Гонка!K5</f>
        <v>0</v>
      </c>
      <c r="K5" s="68">
        <f t="shared" si="0"/>
        <v>2823.946329500978</v>
      </c>
      <c r="L5" s="17">
        <f>RANK(K5,K3:K32,0)</f>
        <v>8</v>
      </c>
      <c r="M5" s="18">
        <f t="shared" si="1"/>
        <v>8</v>
      </c>
    </row>
    <row r="6" spans="1:13" s="54" customFormat="1" ht="12.75">
      <c r="A6" s="15" t="s">
        <v>65</v>
      </c>
      <c r="B6" s="14">
        <f>'Больше-Меньше'!K6</f>
        <v>624</v>
      </c>
      <c r="C6" s="14">
        <f>Точность!K6</f>
        <v>50</v>
      </c>
      <c r="D6" s="51">
        <f>Экономия!M6</f>
        <v>0</v>
      </c>
      <c r="E6" s="14"/>
      <c r="F6" s="51">
        <f>Слалом!K6</f>
        <v>650</v>
      </c>
      <c r="G6" s="51">
        <f>'Полет по заданному маршруту'!N6</f>
        <v>1236.9719358844486</v>
      </c>
      <c r="H6" s="35"/>
      <c r="I6" s="35">
        <f>'Точность 2'!K6</f>
        <v>0</v>
      </c>
      <c r="J6" s="15">
        <f>Гонка!K6</f>
        <v>770</v>
      </c>
      <c r="K6" s="68">
        <f t="shared" si="0"/>
        <v>3330.9719358844486</v>
      </c>
      <c r="L6" s="17">
        <f>RANK(K6,K3:K32,0)</f>
        <v>7</v>
      </c>
      <c r="M6" s="18">
        <f t="shared" si="1"/>
        <v>7</v>
      </c>
    </row>
    <row r="7" spans="1:13" s="54" customFormat="1" ht="12.75">
      <c r="A7" s="15" t="s">
        <v>66</v>
      </c>
      <c r="B7" s="14">
        <f>'Больше-Меньше'!K7</f>
        <v>392</v>
      </c>
      <c r="C7" s="14">
        <f>Точность!K7</f>
        <v>0</v>
      </c>
      <c r="D7" s="51">
        <f>Экономия!M7</f>
        <v>472</v>
      </c>
      <c r="E7" s="14"/>
      <c r="F7" s="51">
        <f>Слалом!K7</f>
        <v>0</v>
      </c>
      <c r="G7" s="51">
        <f>'Полет по заданному маршруту'!N7</f>
        <v>100</v>
      </c>
      <c r="H7" s="35"/>
      <c r="I7" s="35">
        <f>'Точность 2'!K7</f>
        <v>0</v>
      </c>
      <c r="J7" s="35">
        <f>Гонка!K7</f>
        <v>130.20000000000002</v>
      </c>
      <c r="K7" s="68">
        <f t="shared" si="0"/>
        <v>1094.2</v>
      </c>
      <c r="L7" s="17">
        <f>RANK(K7,K3:K32,0)</f>
        <v>10</v>
      </c>
      <c r="M7" s="18">
        <f t="shared" si="1"/>
        <v>10</v>
      </c>
    </row>
    <row r="8" spans="1:13" s="54" customFormat="1" ht="12.75">
      <c r="A8" s="15" t="s">
        <v>91</v>
      </c>
      <c r="B8" s="14">
        <f>'Больше-Меньше'!K8</f>
        <v>276</v>
      </c>
      <c r="C8" s="14">
        <f>Точность!K8</f>
        <v>250</v>
      </c>
      <c r="D8" s="51">
        <f>Экономия!M8</f>
        <v>211.76470588235293</v>
      </c>
      <c r="E8" s="14"/>
      <c r="F8" s="51">
        <f>Слалом!K8</f>
        <v>2000</v>
      </c>
      <c r="G8" s="51">
        <f>'Полет по заданному маршруту'!N8</f>
        <v>1087.5552170964124</v>
      </c>
      <c r="H8" s="35"/>
      <c r="I8" s="35">
        <f>'Точность 2'!K8</f>
        <v>0</v>
      </c>
      <c r="J8" s="15">
        <f>Гонка!K8</f>
        <v>947</v>
      </c>
      <c r="K8" s="68">
        <f t="shared" si="0"/>
        <v>4772.319922978766</v>
      </c>
      <c r="L8" s="17">
        <f>RANK(K8,K3:K32,0)</f>
        <v>4</v>
      </c>
      <c r="M8" s="18">
        <f t="shared" si="1"/>
        <v>4</v>
      </c>
    </row>
    <row r="9" spans="1:13" s="54" customFormat="1" ht="12.75">
      <c r="A9" s="15" t="s">
        <v>67</v>
      </c>
      <c r="B9" s="14">
        <f>'Больше-Меньше'!K9</f>
        <v>902</v>
      </c>
      <c r="C9" s="14">
        <f>Точность!K9</f>
        <v>250</v>
      </c>
      <c r="D9" s="51">
        <f>Экономия!M9</f>
        <v>327.27272727272725</v>
      </c>
      <c r="E9" s="14"/>
      <c r="F9" s="51">
        <f>Слалом!K9</f>
        <v>1927</v>
      </c>
      <c r="G9" s="51">
        <f>'Полет по заданному маршруту'!N9</f>
        <v>1195.1834939049909</v>
      </c>
      <c r="H9" s="35"/>
      <c r="I9" s="35">
        <f>'Точность 2'!K9</f>
        <v>250</v>
      </c>
      <c r="J9" s="15">
        <f>Гонка!K9</f>
        <v>1000</v>
      </c>
      <c r="K9" s="68">
        <f t="shared" si="0"/>
        <v>5851.456221177717</v>
      </c>
      <c r="L9" s="17">
        <f>RANK(K9,K3:K32,0)</f>
        <v>2</v>
      </c>
      <c r="M9" s="18" t="str">
        <f t="shared" si="1"/>
        <v>II</v>
      </c>
    </row>
    <row r="10" spans="1:13" s="54" customFormat="1" ht="12.75">
      <c r="A10" s="15" t="s">
        <v>68</v>
      </c>
      <c r="B10" s="14">
        <f>'Больше-Меньше'!K10</f>
        <v>344</v>
      </c>
      <c r="C10" s="14">
        <f>Точность!K10</f>
        <v>0</v>
      </c>
      <c r="D10" s="51">
        <f>Экономия!M10</f>
        <v>248.27586206896552</v>
      </c>
      <c r="E10" s="14"/>
      <c r="F10" s="51">
        <f>Слалом!K10</f>
        <v>400</v>
      </c>
      <c r="G10" s="51">
        <f>'Полет по заданному маршруту'!N10</f>
        <v>1089.795236787335</v>
      </c>
      <c r="H10" s="35"/>
      <c r="I10" s="35">
        <f>'Точность 2'!K10</f>
        <v>0</v>
      </c>
      <c r="J10" s="15">
        <f>Гонка!K10</f>
        <v>144</v>
      </c>
      <c r="K10" s="68">
        <f t="shared" si="0"/>
        <v>2226.0710988563005</v>
      </c>
      <c r="L10" s="17">
        <f>RANK(K10,K3:K32,0)</f>
        <v>9</v>
      </c>
      <c r="M10" s="18">
        <f t="shared" si="1"/>
        <v>9</v>
      </c>
    </row>
    <row r="11" spans="1:13" s="54" customFormat="1" ht="12.75">
      <c r="A11" s="15" t="s">
        <v>69</v>
      </c>
      <c r="B11" s="14">
        <f>'Больше-Меньше'!K11</f>
        <v>906</v>
      </c>
      <c r="C11" s="14">
        <f>Точность!K11</f>
        <v>0</v>
      </c>
      <c r="D11" s="51">
        <f>Экономия!M11</f>
        <v>194.59459459459458</v>
      </c>
      <c r="E11" s="14"/>
      <c r="F11" s="51">
        <f>Слалом!K11</f>
        <v>1191</v>
      </c>
      <c r="G11" s="51">
        <f>'Полет по заданному маршруту'!N11</f>
        <v>1149.929569179289</v>
      </c>
      <c r="H11" s="35"/>
      <c r="I11" s="35">
        <f>'Точность 2'!K11</f>
        <v>200</v>
      </c>
      <c r="J11" s="15">
        <f>Гонка!K11</f>
        <v>809</v>
      </c>
      <c r="K11" s="68">
        <f t="shared" si="0"/>
        <v>4450.524163773884</v>
      </c>
      <c r="L11" s="17">
        <f>RANK(K11,K3:K32,0)</f>
        <v>6</v>
      </c>
      <c r="M11" s="18">
        <f t="shared" si="1"/>
        <v>6</v>
      </c>
    </row>
    <row r="12" spans="1:13" s="54" customFormat="1" ht="12.75">
      <c r="A12" s="50" t="s">
        <v>70</v>
      </c>
      <c r="B12" s="14">
        <f>'Больше-Меньше'!K12</f>
        <v>651</v>
      </c>
      <c r="C12" s="14">
        <f>Точность!K12</f>
        <v>0</v>
      </c>
      <c r="D12" s="51">
        <f>Экономия!M12</f>
        <v>239.20265780730898</v>
      </c>
      <c r="E12" s="14"/>
      <c r="F12" s="51">
        <f>Слалом!K12</f>
        <v>1455</v>
      </c>
      <c r="G12" s="51">
        <f>'Полет по заданному маршруту'!N12</f>
        <v>1138.9423057087502</v>
      </c>
      <c r="H12" s="35"/>
      <c r="I12" s="35">
        <f>'Точность 2'!K12</f>
        <v>200</v>
      </c>
      <c r="J12" s="15">
        <f>Гонка!K12</f>
        <v>894</v>
      </c>
      <c r="K12" s="68">
        <f t="shared" si="0"/>
        <v>4578.144963516059</v>
      </c>
      <c r="L12" s="17">
        <f>RANK(K12,K3:K32,0)</f>
        <v>5</v>
      </c>
      <c r="M12" s="18">
        <f t="shared" si="1"/>
        <v>5</v>
      </c>
    </row>
    <row r="13" spans="1:13" s="54" customFormat="1" ht="12.75">
      <c r="A13" s="15" t="s">
        <v>71</v>
      </c>
      <c r="B13" s="14">
        <f>'Больше-Меньше'!K13</f>
        <v>576</v>
      </c>
      <c r="C13" s="14">
        <f>Точность!K13</f>
        <v>0</v>
      </c>
      <c r="D13" s="51" t="str">
        <f>Экономия!M13</f>
        <v>-</v>
      </c>
      <c r="E13" s="14"/>
      <c r="F13" s="51">
        <f>Слалом!K13</f>
        <v>455</v>
      </c>
      <c r="G13" s="51">
        <f>'Полет по заданному маршруту'!N13</f>
        <v>0</v>
      </c>
      <c r="H13" s="35"/>
      <c r="I13" s="35">
        <f>'Точность 2'!K13</f>
        <v>0</v>
      </c>
      <c r="J13" s="15">
        <f>Гонка!K13</f>
        <v>0</v>
      </c>
      <c r="K13" s="68">
        <f t="shared" si="0"/>
        <v>1031</v>
      </c>
      <c r="L13" s="17">
        <f>RANK(K13,K3:K32,0)</f>
        <v>11</v>
      </c>
      <c r="M13" s="18">
        <f t="shared" si="1"/>
        <v>11</v>
      </c>
    </row>
    <row r="14" spans="1:13" s="54" customFormat="1" ht="12.75">
      <c r="A14" s="15" t="s">
        <v>72</v>
      </c>
      <c r="B14" s="14">
        <f>'Больше-Меньше'!K14</f>
        <v>622</v>
      </c>
      <c r="C14" s="14">
        <f>Точность!K14</f>
        <v>0</v>
      </c>
      <c r="D14" s="51">
        <f>Экономия!M14</f>
        <v>146.9387755102041</v>
      </c>
      <c r="E14" s="14"/>
      <c r="F14" s="51">
        <f>Слалом!K14</f>
        <v>0</v>
      </c>
      <c r="G14" s="51">
        <f>'Полет по заданному маршруту'!N14</f>
        <v>75</v>
      </c>
      <c r="H14" s="35"/>
      <c r="I14" s="35">
        <f>'Точность 2'!K14</f>
        <v>0</v>
      </c>
      <c r="J14" s="15">
        <f>Гонка!K14</f>
        <v>0</v>
      </c>
      <c r="K14" s="68">
        <f t="shared" si="0"/>
        <v>843.9387755102041</v>
      </c>
      <c r="L14" s="17">
        <f>RANK(K14,K3:K32,0)</f>
        <v>12</v>
      </c>
      <c r="M14" s="18">
        <f t="shared" si="1"/>
        <v>12</v>
      </c>
    </row>
    <row r="15" spans="1:13" s="54" customFormat="1" ht="12.75">
      <c r="A15" s="13"/>
      <c r="B15" s="14"/>
      <c r="C15" s="14"/>
      <c r="D15" s="51"/>
      <c r="E15" s="14"/>
      <c r="F15" s="51"/>
      <c r="G15" s="14"/>
      <c r="H15" s="35"/>
      <c r="I15" s="35"/>
      <c r="J15" s="15"/>
      <c r="K15" s="68"/>
      <c r="L15" s="17"/>
      <c r="M15" s="18"/>
    </row>
    <row r="16" spans="1:13" s="54" customFormat="1" ht="12.75">
      <c r="A16" s="13"/>
      <c r="B16" s="14"/>
      <c r="C16" s="14"/>
      <c r="D16" s="51"/>
      <c r="E16" s="14"/>
      <c r="F16" s="51"/>
      <c r="G16" s="14"/>
      <c r="H16" s="35"/>
      <c r="I16" s="15"/>
      <c r="J16" s="15"/>
      <c r="K16" s="68"/>
      <c r="L16" s="17"/>
      <c r="M16" s="18"/>
    </row>
    <row r="17" spans="1:13" s="54" customFormat="1" ht="12.75">
      <c r="A17" s="13"/>
      <c r="B17" s="14"/>
      <c r="C17" s="14"/>
      <c r="D17" s="51"/>
      <c r="E17" s="14"/>
      <c r="F17" s="51"/>
      <c r="G17" s="14"/>
      <c r="H17" s="35"/>
      <c r="I17" s="15"/>
      <c r="J17" s="15"/>
      <c r="K17" s="16"/>
      <c r="L17" s="17"/>
      <c r="M17" s="18"/>
    </row>
    <row r="18" spans="1:13" s="54" customFormat="1" ht="12.75">
      <c r="A18" s="58"/>
      <c r="B18" s="53"/>
      <c r="C18" s="53"/>
      <c r="D18" s="59"/>
      <c r="E18" s="53"/>
      <c r="F18" s="53"/>
      <c r="G18" s="53"/>
      <c r="H18" s="60"/>
      <c r="K18" s="55"/>
      <c r="L18" s="56"/>
      <c r="M18" s="46"/>
    </row>
    <row r="19" spans="1:13" s="54" customFormat="1" ht="12.75">
      <c r="A19" s="58"/>
      <c r="B19" s="53"/>
      <c r="C19" s="53"/>
      <c r="D19" s="59"/>
      <c r="E19" s="53"/>
      <c r="F19" s="53"/>
      <c r="G19" s="53"/>
      <c r="H19" s="60"/>
      <c r="K19" s="55"/>
      <c r="L19" s="56"/>
      <c r="M19" s="46"/>
    </row>
    <row r="20" spans="1:13" s="54" customFormat="1" ht="12.75">
      <c r="A20" s="58"/>
      <c r="B20" s="53"/>
      <c r="C20" s="53"/>
      <c r="D20" s="59"/>
      <c r="E20" s="53"/>
      <c r="F20" s="53"/>
      <c r="G20" s="53"/>
      <c r="H20" s="60"/>
      <c r="K20" s="55"/>
      <c r="L20" s="56"/>
      <c r="M20" s="46"/>
    </row>
    <row r="21" spans="1:13" s="54" customFormat="1" ht="12.75">
      <c r="A21" s="58"/>
      <c r="B21" s="53"/>
      <c r="C21" s="53"/>
      <c r="D21" s="59"/>
      <c r="E21" s="53"/>
      <c r="F21" s="53"/>
      <c r="G21" s="53"/>
      <c r="H21" s="60"/>
      <c r="K21" s="55"/>
      <c r="L21" s="56"/>
      <c r="M21" s="46"/>
    </row>
    <row r="22" spans="1:13" s="54" customFormat="1" ht="12.75">
      <c r="A22" s="58"/>
      <c r="B22" s="53"/>
      <c r="C22" s="53"/>
      <c r="D22" s="59"/>
      <c r="E22" s="53"/>
      <c r="F22" s="53"/>
      <c r="G22" s="53"/>
      <c r="H22" s="60"/>
      <c r="K22" s="55"/>
      <c r="L22" s="56"/>
      <c r="M22" s="46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</sheetData>
  <sheetProtection/>
  <mergeCells count="1">
    <mergeCell ref="A1:F1"/>
  </mergeCells>
  <printOptions/>
  <pageMargins left="1.4566929133858268" right="0.7480314960629921" top="1.8110236220472442" bottom="0.984251968503937" header="0.5118110236220472" footer="0.5118110236220472"/>
  <pageSetup horizontalDpi="600" verticalDpi="600" orientation="landscape" paperSize="9" r:id="rId1"/>
  <headerFooter alignWithMargins="0">
    <oddHeader>&amp;CПредварительные результаты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2.75"/>
  <cols>
    <col min="1" max="1" width="27.8515625" style="10" customWidth="1"/>
    <col min="2" max="2" width="9.421875" style="12" customWidth="1"/>
    <col min="3" max="3" width="9.7109375" style="12" bestFit="1" customWidth="1"/>
    <col min="4" max="4" width="10.28125" style="12" bestFit="1" customWidth="1"/>
    <col min="5" max="5" width="6.28125" style="12" hidden="1" customWidth="1"/>
    <col min="6" max="6" width="9.421875" style="12" customWidth="1"/>
    <col min="7" max="7" width="9.28125" style="12" bestFit="1" customWidth="1"/>
    <col min="8" max="8" width="10.7109375" style="0" hidden="1" customWidth="1"/>
    <col min="9" max="9" width="11.28125" style="0" customWidth="1"/>
    <col min="10" max="10" width="8.140625" style="0" customWidth="1"/>
    <col min="11" max="11" width="8.421875" style="8" customWidth="1"/>
    <col min="12" max="12" width="6.8515625" style="6" hidden="1" customWidth="1"/>
    <col min="13" max="13" width="8.140625" style="4" customWidth="1"/>
  </cols>
  <sheetData>
    <row r="1" spans="1:13" s="54" customFormat="1" ht="24.75" customHeight="1">
      <c r="A1" s="83" t="s">
        <v>103</v>
      </c>
      <c r="B1" s="83"/>
      <c r="C1" s="83"/>
      <c r="D1" s="83"/>
      <c r="E1" s="83"/>
      <c r="F1" s="83"/>
      <c r="G1" s="53"/>
      <c r="K1" s="55"/>
      <c r="L1" s="56"/>
      <c r="M1" s="57"/>
    </row>
    <row r="2" spans="1:13" s="54" customFormat="1" ht="30" customHeight="1">
      <c r="A2" s="19" t="s">
        <v>12</v>
      </c>
      <c r="B2" s="32" t="s">
        <v>20</v>
      </c>
      <c r="C2" s="32" t="s">
        <v>19</v>
      </c>
      <c r="D2" s="44" t="s">
        <v>61</v>
      </c>
      <c r="E2" s="32"/>
      <c r="F2" s="32" t="s">
        <v>97</v>
      </c>
      <c r="G2" s="32" t="s">
        <v>10</v>
      </c>
      <c r="H2" s="40"/>
      <c r="I2" s="32" t="s">
        <v>101</v>
      </c>
      <c r="J2" s="32" t="s">
        <v>21</v>
      </c>
      <c r="K2" s="16" t="s">
        <v>0</v>
      </c>
      <c r="L2" s="17" t="s">
        <v>3</v>
      </c>
      <c r="M2" s="20" t="s">
        <v>3</v>
      </c>
    </row>
    <row r="3" spans="1:13" s="54" customFormat="1" ht="12.75">
      <c r="A3" s="15" t="s">
        <v>62</v>
      </c>
      <c r="B3" s="14">
        <f>'Больше-Меньше'!K3</f>
        <v>582</v>
      </c>
      <c r="C3" s="14">
        <f>Точность!K3</f>
        <v>250</v>
      </c>
      <c r="D3" s="51">
        <f>Экономия!M3</f>
        <v>1118.5</v>
      </c>
      <c r="E3" s="14"/>
      <c r="F3" s="51">
        <f>Слалом!K3</f>
        <v>1945</v>
      </c>
      <c r="G3" s="51">
        <f>'Полет по заданному маршруту'!N3</f>
        <v>1355.2500000000002</v>
      </c>
      <c r="H3" s="35"/>
      <c r="I3" s="35">
        <f>'Точность 2'!K3</f>
        <v>250</v>
      </c>
      <c r="J3" s="15">
        <f>Гонка!K3</f>
        <v>799</v>
      </c>
      <c r="K3" s="68">
        <f aca="true" t="shared" si="0" ref="K3:K9">SUM(B3:J3)</f>
        <v>6299.75</v>
      </c>
      <c r="L3" s="17">
        <f>RANK(K3,K3:K27,0)</f>
        <v>1</v>
      </c>
      <c r="M3" s="18" t="str">
        <f aca="true" t="shared" si="1" ref="M3:M9">IF(L3&lt;4,ROMAN(L3),L3)</f>
        <v>I</v>
      </c>
    </row>
    <row r="4" spans="1:13" s="54" customFormat="1" ht="12.75">
      <c r="A4" s="15" t="s">
        <v>64</v>
      </c>
      <c r="B4" s="14">
        <f>'Больше-Меньше'!K5</f>
        <v>629</v>
      </c>
      <c r="C4" s="14">
        <f>Точность!K5</f>
        <v>150</v>
      </c>
      <c r="D4" s="51">
        <f>Экономия!M5</f>
        <v>954.909090909091</v>
      </c>
      <c r="E4" s="14"/>
      <c r="F4" s="51">
        <f>Слалом!K5</f>
        <v>0</v>
      </c>
      <c r="G4" s="51">
        <f>'Полет по заданному маршруту'!N5</f>
        <v>1090.0372385918872</v>
      </c>
      <c r="H4" s="35"/>
      <c r="I4" s="35">
        <f>'Точность 2'!K5</f>
        <v>0</v>
      </c>
      <c r="J4" s="15">
        <f>Гонка!K5</f>
        <v>0</v>
      </c>
      <c r="K4" s="68">
        <f t="shared" si="0"/>
        <v>2823.946329500978</v>
      </c>
      <c r="L4" s="17">
        <f>RANK(K4,K3:K27,0)</f>
        <v>3</v>
      </c>
      <c r="M4" s="18" t="str">
        <f t="shared" si="1"/>
        <v>III</v>
      </c>
    </row>
    <row r="5" spans="1:13" s="54" customFormat="1" ht="12.75">
      <c r="A5" s="15" t="s">
        <v>65</v>
      </c>
      <c r="B5" s="14">
        <f>'Больше-Меньше'!K6</f>
        <v>624</v>
      </c>
      <c r="C5" s="14">
        <f>Точность!K6</f>
        <v>50</v>
      </c>
      <c r="D5" s="51">
        <f>Экономия!M6</f>
        <v>0</v>
      </c>
      <c r="E5" s="14"/>
      <c r="F5" s="51">
        <f>Слалом!K6</f>
        <v>650</v>
      </c>
      <c r="G5" s="51">
        <f>'Полет по заданному маршруту'!N6</f>
        <v>1236.9719358844486</v>
      </c>
      <c r="H5" s="35"/>
      <c r="I5" s="35">
        <f>'Точность 2'!K6</f>
        <v>0</v>
      </c>
      <c r="J5" s="15">
        <f>Гонка!K6</f>
        <v>770</v>
      </c>
      <c r="K5" s="68">
        <f t="shared" si="0"/>
        <v>3330.9719358844486</v>
      </c>
      <c r="L5" s="17">
        <f>RANK(K5,K3:K27,0)</f>
        <v>2</v>
      </c>
      <c r="M5" s="18" t="str">
        <f t="shared" si="1"/>
        <v>II</v>
      </c>
    </row>
    <row r="6" spans="1:13" s="54" customFormat="1" ht="12.75">
      <c r="A6" s="15" t="s">
        <v>66</v>
      </c>
      <c r="B6" s="14">
        <f>'Больше-Меньше'!K7</f>
        <v>392</v>
      </c>
      <c r="C6" s="14">
        <f>Точность!K7</f>
        <v>0</v>
      </c>
      <c r="D6" s="51">
        <f>Экономия!M7</f>
        <v>472</v>
      </c>
      <c r="E6" s="14"/>
      <c r="F6" s="51">
        <f>Слалом!K7</f>
        <v>0</v>
      </c>
      <c r="G6" s="51">
        <f>'Полет по заданному маршруту'!N7</f>
        <v>100</v>
      </c>
      <c r="H6" s="35"/>
      <c r="I6" s="35">
        <f>'Точность 2'!K7</f>
        <v>0</v>
      </c>
      <c r="J6" s="35">
        <f>Гонка!K7</f>
        <v>130.20000000000002</v>
      </c>
      <c r="K6" s="68">
        <f t="shared" si="0"/>
        <v>1094.2</v>
      </c>
      <c r="L6" s="17">
        <f>RANK(K6,K3:K27,0)</f>
        <v>5</v>
      </c>
      <c r="M6" s="18">
        <f t="shared" si="1"/>
        <v>5</v>
      </c>
    </row>
    <row r="7" spans="1:13" s="54" customFormat="1" ht="12.75">
      <c r="A7" s="15" t="s">
        <v>68</v>
      </c>
      <c r="B7" s="14">
        <f>'Больше-Меньше'!K10</f>
        <v>344</v>
      </c>
      <c r="C7" s="14">
        <f>Точность!K10</f>
        <v>0</v>
      </c>
      <c r="D7" s="51">
        <f>Экономия!M10</f>
        <v>248.27586206896552</v>
      </c>
      <c r="E7" s="14"/>
      <c r="F7" s="51">
        <f>Слалом!K10</f>
        <v>400</v>
      </c>
      <c r="G7" s="51">
        <f>'Полет по заданному маршруту'!N10</f>
        <v>1089.795236787335</v>
      </c>
      <c r="H7" s="35"/>
      <c r="I7" s="35">
        <f>'Точность 2'!K10</f>
        <v>0</v>
      </c>
      <c r="J7" s="15">
        <f>Гонка!K10</f>
        <v>144</v>
      </c>
      <c r="K7" s="68">
        <f t="shared" si="0"/>
        <v>2226.0710988563005</v>
      </c>
      <c r="L7" s="17">
        <f>RANK(K7,K3:K27,0)</f>
        <v>4</v>
      </c>
      <c r="M7" s="18">
        <f t="shared" si="1"/>
        <v>4</v>
      </c>
    </row>
    <row r="8" spans="1:13" s="54" customFormat="1" ht="12.75">
      <c r="A8" s="15" t="s">
        <v>71</v>
      </c>
      <c r="B8" s="14">
        <f>'Больше-Меньше'!K13</f>
        <v>576</v>
      </c>
      <c r="C8" s="14">
        <f>Точность!K13</f>
        <v>0</v>
      </c>
      <c r="D8" s="51" t="str">
        <f>Экономия!M13</f>
        <v>-</v>
      </c>
      <c r="E8" s="14"/>
      <c r="F8" s="51">
        <f>Слалом!K13</f>
        <v>455</v>
      </c>
      <c r="G8" s="51">
        <f>'Полет по заданному маршруту'!N13</f>
        <v>0</v>
      </c>
      <c r="H8" s="35"/>
      <c r="I8" s="35">
        <f>'Точность 2'!K13</f>
        <v>0</v>
      </c>
      <c r="J8" s="15">
        <f>Гонка!K13</f>
        <v>0</v>
      </c>
      <c r="K8" s="68">
        <f t="shared" si="0"/>
        <v>1031</v>
      </c>
      <c r="L8" s="17">
        <f>RANK(K8,K3:K27,0)</f>
        <v>6</v>
      </c>
      <c r="M8" s="18">
        <f t="shared" si="1"/>
        <v>6</v>
      </c>
    </row>
    <row r="9" spans="1:13" s="54" customFormat="1" ht="12.75">
      <c r="A9" s="15" t="s">
        <v>72</v>
      </c>
      <c r="B9" s="14">
        <f>'Больше-Меньше'!K14</f>
        <v>622</v>
      </c>
      <c r="C9" s="14">
        <f>Точность!K14</f>
        <v>0</v>
      </c>
      <c r="D9" s="51">
        <f>Экономия!M14</f>
        <v>146.9387755102041</v>
      </c>
      <c r="E9" s="14"/>
      <c r="F9" s="51">
        <f>Слалом!K14</f>
        <v>0</v>
      </c>
      <c r="G9" s="51">
        <f>'Полет по заданному маршруту'!N14</f>
        <v>75</v>
      </c>
      <c r="H9" s="35"/>
      <c r="I9" s="35">
        <f>'Точность 2'!K14</f>
        <v>0</v>
      </c>
      <c r="J9" s="15">
        <f>Гонка!K14</f>
        <v>0</v>
      </c>
      <c r="K9" s="68">
        <f t="shared" si="0"/>
        <v>843.9387755102041</v>
      </c>
      <c r="L9" s="17">
        <f>RANK(K9,K3:K27,0)</f>
        <v>7</v>
      </c>
      <c r="M9" s="18">
        <f t="shared" si="1"/>
        <v>7</v>
      </c>
    </row>
    <row r="10" spans="1:13" s="54" customFormat="1" ht="12.75">
      <c r="A10" s="13"/>
      <c r="B10" s="14"/>
      <c r="C10" s="14"/>
      <c r="D10" s="51"/>
      <c r="E10" s="14"/>
      <c r="F10" s="51"/>
      <c r="G10" s="14"/>
      <c r="H10" s="35"/>
      <c r="I10" s="35"/>
      <c r="J10" s="15"/>
      <c r="K10" s="68"/>
      <c r="L10" s="17"/>
      <c r="M10" s="18"/>
    </row>
    <row r="11" spans="1:13" s="54" customFormat="1" ht="12.75">
      <c r="A11" s="13"/>
      <c r="B11" s="14"/>
      <c r="C11" s="14"/>
      <c r="D11" s="51"/>
      <c r="E11" s="14"/>
      <c r="F11" s="51"/>
      <c r="G11" s="14"/>
      <c r="H11" s="35"/>
      <c r="I11" s="15"/>
      <c r="J11" s="15"/>
      <c r="K11" s="68"/>
      <c r="L11" s="17"/>
      <c r="M11" s="18"/>
    </row>
    <row r="12" spans="1:13" s="54" customFormat="1" ht="12.75">
      <c r="A12" s="13"/>
      <c r="B12" s="14"/>
      <c r="C12" s="14"/>
      <c r="D12" s="51"/>
      <c r="E12" s="14"/>
      <c r="F12" s="51"/>
      <c r="G12" s="14"/>
      <c r="H12" s="35"/>
      <c r="I12" s="15"/>
      <c r="J12" s="15"/>
      <c r="K12" s="16"/>
      <c r="L12" s="17"/>
      <c r="M12" s="18"/>
    </row>
    <row r="13" spans="1:13" s="54" customFormat="1" ht="12.75">
      <c r="A13" s="58"/>
      <c r="B13" s="53"/>
      <c r="C13" s="53"/>
      <c r="D13" s="59"/>
      <c r="E13" s="53"/>
      <c r="F13" s="53"/>
      <c r="G13" s="53"/>
      <c r="H13" s="60"/>
      <c r="K13" s="55"/>
      <c r="L13" s="56"/>
      <c r="M13" s="46"/>
    </row>
    <row r="14" spans="1:13" s="54" customFormat="1" ht="12.75">
      <c r="A14" s="58"/>
      <c r="B14" s="53"/>
      <c r="C14" s="53"/>
      <c r="D14" s="59"/>
      <c r="E14" s="53"/>
      <c r="F14" s="53"/>
      <c r="G14" s="53"/>
      <c r="H14" s="60"/>
      <c r="K14" s="55"/>
      <c r="L14" s="56"/>
      <c r="M14" s="46"/>
    </row>
    <row r="15" spans="1:13" s="54" customFormat="1" ht="12.75">
      <c r="A15" s="58"/>
      <c r="B15" s="53"/>
      <c r="C15" s="53"/>
      <c r="D15" s="59"/>
      <c r="E15" s="53"/>
      <c r="F15" s="53"/>
      <c r="G15" s="53"/>
      <c r="H15" s="60"/>
      <c r="K15" s="55"/>
      <c r="L15" s="56"/>
      <c r="M15" s="46"/>
    </row>
    <row r="16" spans="1:13" s="54" customFormat="1" ht="12.75">
      <c r="A16" s="58"/>
      <c r="B16" s="53"/>
      <c r="C16" s="53"/>
      <c r="D16" s="59"/>
      <c r="E16" s="53"/>
      <c r="F16" s="53"/>
      <c r="G16" s="53"/>
      <c r="H16" s="60"/>
      <c r="K16" s="55"/>
      <c r="L16" s="56"/>
      <c r="M16" s="46"/>
    </row>
    <row r="17" spans="1:13" s="54" customFormat="1" ht="12.75">
      <c r="A17" s="58"/>
      <c r="B17" s="53"/>
      <c r="C17" s="53"/>
      <c r="D17" s="59"/>
      <c r="E17" s="53"/>
      <c r="F17" s="53"/>
      <c r="G17" s="53"/>
      <c r="H17" s="60"/>
      <c r="K17" s="55"/>
      <c r="L17" s="56"/>
      <c r="M17" s="46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</sheetData>
  <sheetProtection/>
  <mergeCells count="1">
    <mergeCell ref="A1:F1"/>
  </mergeCells>
  <printOptions/>
  <pageMargins left="1.4566929133858268" right="0.7480314960629921" top="1.8110236220472442" bottom="0.984251968503937" header="0.5118110236220472" footer="0.5118110236220472"/>
  <pageSetup horizontalDpi="600" verticalDpi="600" orientation="landscape" paperSize="9" r:id="rId1"/>
  <headerFooter alignWithMargins="0">
    <oddHeader>&amp;CПредварительные результаты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2011-06-12T07:35:35Z</cp:lastPrinted>
  <dcterms:created xsi:type="dcterms:W3CDTF">1996-10-08T23:32:33Z</dcterms:created>
  <dcterms:modified xsi:type="dcterms:W3CDTF">2011-06-12T07:40:15Z</dcterms:modified>
  <cp:category/>
  <cp:version/>
  <cp:contentType/>
  <cp:contentStatus/>
</cp:coreProperties>
</file>